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355" windowHeight="8145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Plan1!$A$1:$M$117</definedName>
  </definedNames>
  <calcPr calcId="145621"/>
</workbook>
</file>

<file path=xl/calcChain.xml><?xml version="1.0" encoding="utf-8"?>
<calcChain xmlns="http://schemas.openxmlformats.org/spreadsheetml/2006/main">
  <c r="M28" i="1" l="1"/>
  <c r="K61" i="1" l="1"/>
  <c r="K60" i="1"/>
  <c r="K59" i="1"/>
  <c r="K58" i="1"/>
  <c r="K57" i="1"/>
  <c r="F30" i="1"/>
  <c r="K56" i="1"/>
  <c r="K55" i="1"/>
  <c r="K54" i="1"/>
  <c r="K53" i="1"/>
  <c r="K52" i="1"/>
  <c r="K51" i="1"/>
  <c r="K50" i="1"/>
  <c r="K49" i="1"/>
  <c r="K48" i="1"/>
  <c r="K47" i="1"/>
  <c r="K46" i="1"/>
  <c r="K45" i="1"/>
  <c r="K42" i="1"/>
  <c r="K41" i="1"/>
  <c r="K40" i="1"/>
  <c r="K39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2" i="1"/>
  <c r="G41" i="1"/>
  <c r="G40" i="1"/>
  <c r="G39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D79" i="1"/>
  <c r="D78" i="1"/>
  <c r="D77" i="1"/>
  <c r="D76" i="1"/>
  <c r="D75" i="1"/>
  <c r="D74" i="1"/>
  <c r="D71" i="1"/>
  <c r="D70" i="1"/>
  <c r="D69" i="1"/>
  <c r="D68" i="1"/>
  <c r="M45" i="1" l="1"/>
  <c r="G43" i="1" l="1"/>
  <c r="G44" i="1"/>
  <c r="M19" i="1" l="1"/>
  <c r="M14" i="1" l="1"/>
  <c r="M41" i="1" l="1"/>
  <c r="M61" i="1"/>
  <c r="M60" i="1"/>
  <c r="M59" i="1"/>
  <c r="M57" i="1"/>
  <c r="M56" i="1"/>
  <c r="M55" i="1"/>
  <c r="M54" i="1"/>
  <c r="M53" i="1"/>
  <c r="M51" i="1"/>
  <c r="M50" i="1"/>
  <c r="M49" i="1"/>
  <c r="M46" i="1"/>
  <c r="M44" i="1"/>
  <c r="M43" i="1"/>
  <c r="M40" i="1"/>
  <c r="M39" i="1"/>
  <c r="K44" i="1"/>
  <c r="K43" i="1"/>
  <c r="M21" i="1" l="1"/>
  <c r="M20" i="1"/>
  <c r="M15" i="1"/>
  <c r="M16" i="1"/>
  <c r="M22" i="1"/>
  <c r="M23" i="1"/>
  <c r="M24" i="1"/>
  <c r="M25" i="1"/>
  <c r="M26" i="1"/>
  <c r="M27" i="1"/>
  <c r="M29" i="1"/>
  <c r="M30" i="1"/>
  <c r="M32" i="1"/>
  <c r="M33" i="1"/>
  <c r="L46" i="1" l="1"/>
  <c r="J62" i="1"/>
  <c r="J35" i="1"/>
  <c r="F42" i="1"/>
  <c r="F43" i="1"/>
  <c r="L43" i="1" s="1"/>
  <c r="F44" i="1"/>
  <c r="L44" i="1" s="1"/>
  <c r="F45" i="1"/>
  <c r="F47" i="1"/>
  <c r="F48" i="1"/>
  <c r="L48" i="1" s="1"/>
  <c r="F49" i="1"/>
  <c r="L49" i="1" s="1"/>
  <c r="F50" i="1"/>
  <c r="L50" i="1" s="1"/>
  <c r="F51" i="1"/>
  <c r="L51" i="1" s="1"/>
  <c r="F52" i="1"/>
  <c r="L52" i="1" s="1"/>
  <c r="F53" i="1"/>
  <c r="L53" i="1" s="1"/>
  <c r="F54" i="1"/>
  <c r="L54" i="1" s="1"/>
  <c r="F55" i="1"/>
  <c r="L55" i="1" s="1"/>
  <c r="F56" i="1"/>
  <c r="L56" i="1" s="1"/>
  <c r="F57" i="1"/>
  <c r="L57" i="1" s="1"/>
  <c r="F58" i="1"/>
  <c r="L58" i="1" s="1"/>
  <c r="F59" i="1"/>
  <c r="L59" i="1" s="1"/>
  <c r="F60" i="1"/>
  <c r="L60" i="1" s="1"/>
  <c r="F61" i="1"/>
  <c r="L61" i="1" s="1"/>
  <c r="F41" i="1"/>
  <c r="L41" i="1" s="1"/>
  <c r="F40" i="1"/>
  <c r="L40" i="1" s="1"/>
  <c r="F39" i="1"/>
  <c r="L39" i="1" s="1"/>
  <c r="F18" i="1"/>
  <c r="L18" i="1" s="1"/>
  <c r="F19" i="1"/>
  <c r="L19" i="1" s="1"/>
  <c r="F20" i="1"/>
  <c r="L20" i="1" s="1"/>
  <c r="F21" i="1"/>
  <c r="L21" i="1" s="1"/>
  <c r="F22" i="1"/>
  <c r="L22" i="1" s="1"/>
  <c r="F23" i="1"/>
  <c r="L23" i="1" s="1"/>
  <c r="F24" i="1"/>
  <c r="L24" i="1" s="1"/>
  <c r="F25" i="1"/>
  <c r="L25" i="1" s="1"/>
  <c r="F26" i="1"/>
  <c r="L26" i="1" s="1"/>
  <c r="F27" i="1"/>
  <c r="L27" i="1" s="1"/>
  <c r="F28" i="1"/>
  <c r="L28" i="1" s="1"/>
  <c r="F29" i="1"/>
  <c r="L29" i="1" s="1"/>
  <c r="L30" i="1"/>
  <c r="F31" i="1"/>
  <c r="L31" i="1" s="1"/>
  <c r="F32" i="1"/>
  <c r="L32" i="1" s="1"/>
  <c r="F33" i="1"/>
  <c r="L33" i="1" s="1"/>
  <c r="F34" i="1"/>
  <c r="L34" i="1" s="1"/>
  <c r="F17" i="1"/>
  <c r="L17" i="1" s="1"/>
  <c r="F15" i="1"/>
  <c r="L15" i="1" s="1"/>
  <c r="F14" i="1"/>
  <c r="L14" i="1" s="1"/>
  <c r="F16" i="1"/>
  <c r="L16" i="1" s="1"/>
  <c r="L45" i="1" l="1"/>
  <c r="L42" i="1"/>
  <c r="M42" i="1"/>
  <c r="L47" i="1"/>
  <c r="L62" i="1" s="1"/>
  <c r="M47" i="1"/>
  <c r="F62" i="1"/>
  <c r="L35" i="1"/>
  <c r="E62" i="1"/>
  <c r="C62" i="1"/>
  <c r="C35" i="1"/>
  <c r="E35" i="1"/>
  <c r="F35" i="1" l="1"/>
  <c r="M62" i="1" l="1"/>
  <c r="M35" i="1" l="1"/>
</calcChain>
</file>

<file path=xl/sharedStrings.xml><?xml version="1.0" encoding="utf-8"?>
<sst xmlns="http://schemas.openxmlformats.org/spreadsheetml/2006/main" count="241" uniqueCount="130">
  <si>
    <t>ÁREA ÚTIL</t>
  </si>
  <si>
    <t>ÁREA COMUM</t>
  </si>
  <si>
    <t>ÁREA BOX</t>
  </si>
  <si>
    <t>BLOCO 1</t>
  </si>
  <si>
    <t>BLOCO 2</t>
  </si>
  <si>
    <t xml:space="preserve">APTO 101 </t>
  </si>
  <si>
    <t xml:space="preserve">APTO 102 </t>
  </si>
  <si>
    <t>APTO 402</t>
  </si>
  <si>
    <t>Nº BOX</t>
  </si>
  <si>
    <t>APTO 103</t>
  </si>
  <si>
    <t>APTO 104</t>
  </si>
  <si>
    <t>APTO 403</t>
  </si>
  <si>
    <t>APTO 105</t>
  </si>
  <si>
    <t>APTO 106</t>
  </si>
  <si>
    <t>APTO 401</t>
  </si>
  <si>
    <t xml:space="preserve">APARTAMENTOS </t>
  </si>
  <si>
    <t>DORM.</t>
  </si>
  <si>
    <t>2D</t>
  </si>
  <si>
    <t>3D</t>
  </si>
  <si>
    <t xml:space="preserve">APTO 111 </t>
  </si>
  <si>
    <t xml:space="preserve">APTO 112 </t>
  </si>
  <si>
    <t>APTO 113</t>
  </si>
  <si>
    <t>APTO 114</t>
  </si>
  <si>
    <t>APTO 115</t>
  </si>
  <si>
    <t>APTO 116</t>
  </si>
  <si>
    <t>APTO 411</t>
  </si>
  <si>
    <t>APTO 412</t>
  </si>
  <si>
    <t>APTO 413</t>
  </si>
  <si>
    <t>TOTAL 21 APTOS</t>
  </si>
  <si>
    <t>APTO 201</t>
  </si>
  <si>
    <t>APTO 202</t>
  </si>
  <si>
    <t>APTO 203</t>
  </si>
  <si>
    <t>APTO 204</t>
  </si>
  <si>
    <t>APTO 205</t>
  </si>
  <si>
    <t>APTO 206</t>
  </si>
  <si>
    <t>APTO 301</t>
  </si>
  <si>
    <t>APTO 302</t>
  </si>
  <si>
    <t>APTO 303</t>
  </si>
  <si>
    <t>APTO 304</t>
  </si>
  <si>
    <t>APTO 305</t>
  </si>
  <si>
    <t>APTO 306</t>
  </si>
  <si>
    <t>APTO 211</t>
  </si>
  <si>
    <t>APTO 212</t>
  </si>
  <si>
    <t>APTO 213</t>
  </si>
  <si>
    <t>APTO 214</t>
  </si>
  <si>
    <t>APTO 216</t>
  </si>
  <si>
    <t>APTO 311</t>
  </si>
  <si>
    <t>APTO 312</t>
  </si>
  <si>
    <t>APTO 313</t>
  </si>
  <si>
    <t>APTO 315</t>
  </si>
  <si>
    <t>APTO 316</t>
  </si>
  <si>
    <t>20/20A</t>
  </si>
  <si>
    <t>21/21A</t>
  </si>
  <si>
    <t>19/19A</t>
  </si>
  <si>
    <t>18/18A</t>
  </si>
  <si>
    <t>17/17A</t>
  </si>
  <si>
    <t>12/12A</t>
  </si>
  <si>
    <t>16/16A</t>
  </si>
  <si>
    <t>22/22A</t>
  </si>
  <si>
    <t>15/15A</t>
  </si>
  <si>
    <t>11/11A</t>
  </si>
  <si>
    <t>13/13A</t>
  </si>
  <si>
    <t>14/14A</t>
  </si>
  <si>
    <t>1/2</t>
  </si>
  <si>
    <t>53/54</t>
  </si>
  <si>
    <t>51/52</t>
  </si>
  <si>
    <t>49/50</t>
  </si>
  <si>
    <t>25/26</t>
  </si>
  <si>
    <t>31/32</t>
  </si>
  <si>
    <t>23/24</t>
  </si>
  <si>
    <t>45/46</t>
  </si>
  <si>
    <t>29/30</t>
  </si>
  <si>
    <t>PREÇO</t>
  </si>
  <si>
    <t xml:space="preserve">      </t>
  </si>
  <si>
    <t xml:space="preserve">  </t>
  </si>
  <si>
    <t>ÁREA TOTAL</t>
  </si>
  <si>
    <t xml:space="preserve"> </t>
  </si>
  <si>
    <r>
      <t xml:space="preserve">                     </t>
    </r>
    <r>
      <rPr>
        <b/>
        <sz val="10"/>
        <color theme="1"/>
        <rFont val="Calibri"/>
        <family val="2"/>
        <scheme val="minor"/>
      </rPr>
      <t xml:space="preserve"> BLOCO 2</t>
    </r>
  </si>
  <si>
    <t>BOX 40</t>
  </si>
  <si>
    <t>BOX 41</t>
  </si>
  <si>
    <t>BOX 42</t>
  </si>
  <si>
    <t>BOX 43</t>
  </si>
  <si>
    <t>BOX 44</t>
  </si>
  <si>
    <t>BOX 55</t>
  </si>
  <si>
    <t>27/28</t>
  </si>
  <si>
    <t xml:space="preserve">   </t>
  </si>
  <si>
    <t>BOX 33/33A</t>
  </si>
  <si>
    <t>BOX 34/34A</t>
  </si>
  <si>
    <t>BOX 35/35A</t>
  </si>
  <si>
    <t>BOX 36/36A</t>
  </si>
  <si>
    <t xml:space="preserve">               ÁREA BOXES</t>
  </si>
  <si>
    <t>m²</t>
  </si>
  <si>
    <t xml:space="preserve">ÁREA </t>
  </si>
  <si>
    <t>TOTAL APTO</t>
  </si>
  <si>
    <t>TERRAÇO</t>
  </si>
  <si>
    <t>ÁREA</t>
  </si>
  <si>
    <t>D</t>
  </si>
  <si>
    <t>Condições de Pagamento:</t>
  </si>
  <si>
    <t>no Hotel Cercano em baixa e média temporada mediante</t>
  </si>
  <si>
    <t>Rua Piratini nº 381, Bairro Bavária</t>
  </si>
  <si>
    <t>*</t>
  </si>
  <si>
    <t>BOX 47 *</t>
  </si>
  <si>
    <t>BOX 48 *</t>
  </si>
  <si>
    <t>PREÇO S/BOX</t>
  </si>
  <si>
    <t>PREÇO BOX</t>
  </si>
  <si>
    <t>Bloco 2 = julho de 2019</t>
  </si>
  <si>
    <t>Bloco 1 = dezembro 2018</t>
  </si>
  <si>
    <t>Prazo de entrega:</t>
  </si>
  <si>
    <t>BOX EXTRA</t>
  </si>
  <si>
    <t>Reservados</t>
  </si>
  <si>
    <t>reserva e disponibilidade (fechamento conforme Tabela).</t>
  </si>
  <si>
    <t>Casa Geminada em Cond. Fechado!</t>
  </si>
  <si>
    <t>Dois pavimentos, com 3 dormitórios, sendo uma suite, cozinha, lavanderia, estar e jantar com lareira, sacada com churrasqueira, 1 banho social completo.</t>
  </si>
  <si>
    <t>Bloco 1</t>
  </si>
  <si>
    <t>Bloco 2</t>
  </si>
  <si>
    <t>*APTO 314</t>
  </si>
  <si>
    <t>*APTO 215</t>
  </si>
  <si>
    <t>* Reserva Imob</t>
  </si>
  <si>
    <t>Vendido</t>
  </si>
  <si>
    <t>Vendidos</t>
  </si>
  <si>
    <t>1) À vista: 7 % de desconto</t>
  </si>
  <si>
    <t xml:space="preserve">1)  10% </t>
  </si>
  <si>
    <t>2) Entrada 30% e saldo em até 36x PREÇO TABELA /INCC</t>
  </si>
  <si>
    <t>2) Saldo até 42X</t>
  </si>
  <si>
    <t>3) Na entrega 10% ( opcional) /INCC</t>
  </si>
  <si>
    <t>3)Idem</t>
  </si>
  <si>
    <t>Após entrega IGPM + 1% ao mês</t>
  </si>
  <si>
    <t>BOX 61</t>
  </si>
  <si>
    <t xml:space="preserve">Observação: A cada R$ 40.000,00 pagos dá direito a uma diária </t>
  </si>
  <si>
    <t>01/09/2017 (02)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</si>
</sst>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164" formatCode="&quot;R$&quot;\ #,##0.00"/>
    <numFmt numFmtId="165" formatCode="[$-F800]dddd\,\ mmmm\ dd\,\ yyyy"/>
    <numFmt numFmtId="166" formatCode="[$-416]d\-mmm\-yy;@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Aharoni"/>
      <charset val="177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6"/>
      <color theme="1"/>
      <name val="Arial Black"/>
      <family val="2"/>
    </font>
    <font>
      <b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1" tint="0.49998474074526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34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3" xfId="0" applyFont="1" applyBorder="1"/>
    <xf numFmtId="0" fontId="4" fillId="0" borderId="0" xfId="0" applyFont="1" applyBorder="1"/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2" fontId="3" fillId="4" borderId="8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2" fontId="4" fillId="2" borderId="5" xfId="0" applyNumberFormat="1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6" fillId="0" borderId="0" xfId="0" applyFont="1"/>
    <xf numFmtId="0" fontId="3" fillId="4" borderId="3" xfId="0" applyFont="1" applyFill="1" applyBorder="1" applyAlignment="1">
      <alignment horizontal="center"/>
    </xf>
    <xf numFmtId="0" fontId="0" fillId="0" borderId="3" xfId="0" applyBorder="1"/>
    <xf numFmtId="164" fontId="4" fillId="0" borderId="1" xfId="0" applyNumberFormat="1" applyFont="1" applyBorder="1" applyAlignment="1">
      <alignment horizontal="center"/>
    </xf>
    <xf numFmtId="164" fontId="4" fillId="0" borderId="7" xfId="0" applyNumberFormat="1" applyFont="1" applyBorder="1" applyAlignment="1">
      <alignment horizontal="center"/>
    </xf>
    <xf numFmtId="164" fontId="4" fillId="0" borderId="5" xfId="0" applyNumberFormat="1" applyFont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8" fillId="0" borderId="0" xfId="0" applyNumberFormat="1" applyFont="1" applyAlignment="1">
      <alignment horizontal="left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2" fontId="4" fillId="0" borderId="4" xfId="0" applyNumberFormat="1" applyFont="1" applyBorder="1" applyAlignment="1">
      <alignment horizontal="left"/>
    </xf>
    <xf numFmtId="2" fontId="4" fillId="0" borderId="9" xfId="0" applyNumberFormat="1" applyFont="1" applyBorder="1" applyAlignment="1">
      <alignment horizontal="right"/>
    </xf>
    <xf numFmtId="0" fontId="7" fillId="4" borderId="6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4" fontId="0" fillId="0" borderId="0" xfId="0" applyNumberFormat="1"/>
    <xf numFmtId="2" fontId="4" fillId="0" borderId="0" xfId="0" applyNumberFormat="1" applyFont="1" applyBorder="1" applyAlignment="1">
      <alignment horizontal="left"/>
    </xf>
    <xf numFmtId="0" fontId="4" fillId="5" borderId="5" xfId="0" applyNumberFormat="1" applyFont="1" applyFill="1" applyBorder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0" fillId="5" borderId="0" xfId="0" applyFill="1"/>
    <xf numFmtId="0" fontId="0" fillId="2" borderId="0" xfId="0" applyFill="1"/>
    <xf numFmtId="0" fontId="0" fillId="6" borderId="0" xfId="0" applyFill="1"/>
    <xf numFmtId="2" fontId="3" fillId="3" borderId="8" xfId="0" applyNumberFormat="1" applyFont="1" applyFill="1" applyBorder="1" applyAlignment="1">
      <alignment horizontal="center"/>
    </xf>
    <xf numFmtId="0" fontId="4" fillId="0" borderId="19" xfId="0" applyFont="1" applyBorder="1" applyAlignment="1">
      <alignment horizontal="right"/>
    </xf>
    <xf numFmtId="2" fontId="4" fillId="0" borderId="19" xfId="0" applyNumberFormat="1" applyFont="1" applyBorder="1" applyAlignment="1">
      <alignment horizontal="left"/>
    </xf>
    <xf numFmtId="164" fontId="4" fillId="0" borderId="1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9" fillId="4" borderId="20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44" fontId="4" fillId="0" borderId="1" xfId="1" applyFont="1" applyBorder="1" applyAlignment="1">
      <alignment horizontal="center"/>
    </xf>
    <xf numFmtId="44" fontId="4" fillId="0" borderId="5" xfId="1" applyFont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1" fontId="4" fillId="2" borderId="5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44" fontId="4" fillId="2" borderId="5" xfId="1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2" fontId="4" fillId="2" borderId="7" xfId="0" applyNumberFormat="1" applyFont="1" applyFill="1" applyBorder="1" applyAlignment="1">
      <alignment horizontal="center"/>
    </xf>
    <xf numFmtId="2" fontId="4" fillId="2" borderId="2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1" fontId="4" fillId="5" borderId="1" xfId="0" applyNumberFormat="1" applyFont="1" applyFill="1" applyBorder="1" applyAlignment="1">
      <alignment horizontal="center"/>
    </xf>
    <xf numFmtId="1" fontId="4" fillId="5" borderId="5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0" fontId="3" fillId="5" borderId="0" xfId="0" applyFont="1" applyFill="1" applyBorder="1"/>
    <xf numFmtId="0" fontId="3" fillId="5" borderId="0" xfId="0" applyFont="1" applyFill="1"/>
    <xf numFmtId="0" fontId="1" fillId="5" borderId="0" xfId="0" applyFont="1" applyFill="1"/>
    <xf numFmtId="0" fontId="3" fillId="7" borderId="6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2" fontId="4" fillId="7" borderId="1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44" fontId="4" fillId="7" borderId="1" xfId="1" applyFont="1" applyFill="1" applyBorder="1" applyAlignment="1">
      <alignment horizontal="center"/>
    </xf>
    <xf numFmtId="1" fontId="4" fillId="7" borderId="5" xfId="0" applyNumberFormat="1" applyFont="1" applyFill="1" applyBorder="1" applyAlignment="1">
      <alignment horizontal="center"/>
    </xf>
    <xf numFmtId="44" fontId="4" fillId="7" borderId="5" xfId="1" applyFont="1" applyFill="1" applyBorder="1" applyAlignment="1">
      <alignment horizontal="center"/>
    </xf>
    <xf numFmtId="2" fontId="4" fillId="7" borderId="5" xfId="0" applyNumberFormat="1" applyFont="1" applyFill="1" applyBorder="1" applyAlignment="1">
      <alignment horizontal="center"/>
    </xf>
    <xf numFmtId="164" fontId="4" fillId="7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center"/>
    </xf>
    <xf numFmtId="2" fontId="4" fillId="7" borderId="4" xfId="0" applyNumberFormat="1" applyFont="1" applyFill="1" applyBorder="1" applyAlignment="1">
      <alignment horizontal="center"/>
    </xf>
    <xf numFmtId="1" fontId="4" fillId="7" borderId="1" xfId="0" applyNumberFormat="1" applyFont="1" applyFill="1" applyBorder="1" applyAlignment="1">
      <alignment horizontal="center"/>
    </xf>
    <xf numFmtId="2" fontId="4" fillId="7" borderId="7" xfId="0" applyNumberFormat="1" applyFont="1" applyFill="1" applyBorder="1" applyAlignment="1">
      <alignment horizontal="center"/>
    </xf>
    <xf numFmtId="0" fontId="0" fillId="7" borderId="0" xfId="0" applyFill="1"/>
    <xf numFmtId="2" fontId="4" fillId="7" borderId="2" xfId="0" applyNumberFormat="1" applyFont="1" applyFill="1" applyBorder="1" applyAlignment="1">
      <alignment horizontal="center"/>
    </xf>
    <xf numFmtId="0" fontId="4" fillId="7" borderId="5" xfId="0" applyNumberFormat="1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  <xf numFmtId="164" fontId="4" fillId="7" borderId="7" xfId="0" applyNumberFormat="1" applyFont="1" applyFill="1" applyBorder="1" applyAlignment="1">
      <alignment horizontal="center"/>
    </xf>
    <xf numFmtId="44" fontId="4" fillId="7" borderId="7" xfId="1" applyFont="1" applyFill="1" applyBorder="1" applyAlignment="1">
      <alignment horizontal="center"/>
    </xf>
    <xf numFmtId="0" fontId="4" fillId="7" borderId="7" xfId="0" applyNumberFormat="1" applyFont="1" applyFill="1" applyBorder="1" applyAlignment="1">
      <alignment horizontal="center"/>
    </xf>
    <xf numFmtId="17" fontId="0" fillId="0" borderId="0" xfId="0" applyNumberFormat="1"/>
    <xf numFmtId="0" fontId="0" fillId="8" borderId="0" xfId="0" applyFill="1"/>
    <xf numFmtId="14" fontId="11" fillId="0" borderId="0" xfId="0" applyNumberFormat="1" applyFont="1"/>
    <xf numFmtId="0" fontId="3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44" fontId="4" fillId="0" borderId="1" xfId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44" fontId="4" fillId="0" borderId="5" xfId="1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2" fontId="4" fillId="0" borderId="7" xfId="0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164" fontId="4" fillId="0" borderId="7" xfId="0" applyNumberFormat="1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2" fontId="4" fillId="8" borderId="7" xfId="0" applyNumberFormat="1" applyFont="1" applyFill="1" applyBorder="1" applyAlignment="1">
      <alignment horizontal="center"/>
    </xf>
    <xf numFmtId="2" fontId="4" fillId="8" borderId="2" xfId="0" applyNumberFormat="1" applyFont="1" applyFill="1" applyBorder="1" applyAlignment="1">
      <alignment horizontal="center"/>
    </xf>
    <xf numFmtId="2" fontId="4" fillId="8" borderId="1" xfId="0" applyNumberFormat="1" applyFont="1" applyFill="1" applyBorder="1" applyAlignment="1">
      <alignment horizontal="center"/>
    </xf>
    <xf numFmtId="44" fontId="4" fillId="8" borderId="1" xfId="1" applyFont="1" applyFill="1" applyBorder="1" applyAlignment="1">
      <alignment horizontal="center"/>
    </xf>
    <xf numFmtId="1" fontId="4" fillId="8" borderId="1" xfId="0" applyNumberFormat="1" applyFont="1" applyFill="1" applyBorder="1" applyAlignment="1">
      <alignment horizontal="center"/>
    </xf>
    <xf numFmtId="1" fontId="4" fillId="8" borderId="5" xfId="0" applyNumberFormat="1" applyFont="1" applyFill="1" applyBorder="1" applyAlignment="1">
      <alignment horizontal="center"/>
    </xf>
    <xf numFmtId="0" fontId="4" fillId="8" borderId="5" xfId="0" applyFont="1" applyFill="1" applyBorder="1" applyAlignment="1">
      <alignment horizontal="center"/>
    </xf>
    <xf numFmtId="44" fontId="4" fillId="8" borderId="5" xfId="1" applyFont="1" applyFill="1" applyBorder="1" applyAlignment="1">
      <alignment horizontal="center"/>
    </xf>
    <xf numFmtId="2" fontId="4" fillId="8" borderId="5" xfId="0" applyNumberFormat="1" applyFont="1" applyFill="1" applyBorder="1" applyAlignment="1">
      <alignment horizontal="center"/>
    </xf>
    <xf numFmtId="164" fontId="4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4" fillId="8" borderId="7" xfId="0" applyFont="1" applyFill="1" applyBorder="1" applyAlignment="1">
      <alignment horizontal="center"/>
    </xf>
    <xf numFmtId="2" fontId="4" fillId="8" borderId="4" xfId="0" applyNumberFormat="1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49" fontId="0" fillId="0" borderId="0" xfId="0" applyNumberFormat="1"/>
    <xf numFmtId="166" fontId="12" fillId="0" borderId="0" xfId="0" applyNumberFormat="1" applyFont="1"/>
    <xf numFmtId="165" fontId="4" fillId="0" borderId="20" xfId="0" applyNumberFormat="1" applyFont="1" applyBorder="1"/>
    <xf numFmtId="14" fontId="13" fillId="0" borderId="0" xfId="0" applyNumberFormat="1" applyFont="1"/>
    <xf numFmtId="0" fontId="13" fillId="0" borderId="0" xfId="0" applyFont="1"/>
    <xf numFmtId="0" fontId="0" fillId="0" borderId="0" xfId="0" applyFill="1" applyBorder="1"/>
    <xf numFmtId="0" fontId="0" fillId="3" borderId="15" xfId="0" applyFill="1" applyBorder="1"/>
    <xf numFmtId="0" fontId="0" fillId="3" borderId="25" xfId="0" applyFill="1" applyBorder="1"/>
    <xf numFmtId="0" fontId="0" fillId="9" borderId="15" xfId="0" applyFill="1" applyBorder="1"/>
    <xf numFmtId="0" fontId="0" fillId="9" borderId="0" xfId="0" applyFill="1" applyBorder="1"/>
    <xf numFmtId="0" fontId="0" fillId="9" borderId="25" xfId="0" applyFill="1" applyBorder="1"/>
    <xf numFmtId="0" fontId="0" fillId="9" borderId="21" xfId="0" applyFill="1" applyBorder="1"/>
    <xf numFmtId="0" fontId="0" fillId="9" borderId="16" xfId="0" applyFill="1" applyBorder="1"/>
    <xf numFmtId="0" fontId="0" fillId="9" borderId="17" xfId="0" applyFill="1" applyBorder="1"/>
    <xf numFmtId="0" fontId="0" fillId="9" borderId="18" xfId="0" applyFill="1" applyBorder="1"/>
    <xf numFmtId="0" fontId="12" fillId="9" borderId="12" xfId="0" applyFont="1" applyFill="1" applyBorder="1"/>
    <xf numFmtId="0" fontId="12" fillId="9" borderId="13" xfId="0" applyFont="1" applyFill="1" applyBorder="1"/>
    <xf numFmtId="0" fontId="4" fillId="8" borderId="4" xfId="0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4" fillId="8" borderId="5" xfId="0" applyNumberFormat="1" applyFont="1" applyFill="1" applyBorder="1" applyAlignment="1">
      <alignment horizontal="center"/>
    </xf>
    <xf numFmtId="164" fontId="4" fillId="8" borderId="7" xfId="0" applyNumberFormat="1" applyFont="1" applyFill="1" applyBorder="1" applyAlignment="1">
      <alignment horizontal="center"/>
    </xf>
    <xf numFmtId="0" fontId="3" fillId="10" borderId="6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2" fontId="4" fillId="10" borderId="7" xfId="0" applyNumberFormat="1" applyFont="1" applyFill="1" applyBorder="1" applyAlignment="1">
      <alignment horizontal="center"/>
    </xf>
    <xf numFmtId="2" fontId="4" fillId="10" borderId="2" xfId="0" applyNumberFormat="1" applyFont="1" applyFill="1" applyBorder="1" applyAlignment="1">
      <alignment horizontal="center"/>
    </xf>
    <xf numFmtId="2" fontId="4" fillId="10" borderId="1" xfId="0" applyNumberFormat="1" applyFont="1" applyFill="1" applyBorder="1" applyAlignment="1">
      <alignment horizontal="center"/>
    </xf>
    <xf numFmtId="44" fontId="4" fillId="10" borderId="5" xfId="1" applyFont="1" applyFill="1" applyBorder="1" applyAlignment="1">
      <alignment horizontal="center"/>
    </xf>
    <xf numFmtId="0" fontId="4" fillId="10" borderId="5" xfId="0" applyNumberFormat="1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2" fontId="4" fillId="10" borderId="5" xfId="0" applyNumberFormat="1" applyFont="1" applyFill="1" applyBorder="1" applyAlignment="1">
      <alignment horizontal="center"/>
    </xf>
    <xf numFmtId="164" fontId="4" fillId="10" borderId="7" xfId="0" applyNumberFormat="1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44" fontId="4" fillId="10" borderId="1" xfId="1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/>
    </xf>
    <xf numFmtId="164" fontId="4" fillId="10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right"/>
    </xf>
    <xf numFmtId="2" fontId="4" fillId="8" borderId="4" xfId="0" applyNumberFormat="1" applyFont="1" applyFill="1" applyBorder="1" applyAlignment="1">
      <alignment horizontal="left"/>
    </xf>
    <xf numFmtId="0" fontId="4" fillId="10" borderId="1" xfId="0" applyNumberFormat="1" applyFont="1" applyFill="1" applyBorder="1" applyAlignment="1">
      <alignment horizontal="center"/>
    </xf>
    <xf numFmtId="0" fontId="0" fillId="9" borderId="26" xfId="0" applyFill="1" applyBorder="1"/>
    <xf numFmtId="0" fontId="0" fillId="9" borderId="3" xfId="0" applyFill="1" applyBorder="1"/>
    <xf numFmtId="0" fontId="0" fillId="9" borderId="27" xfId="0" applyFill="1" applyBorder="1"/>
    <xf numFmtId="0" fontId="0" fillId="9" borderId="28" xfId="0" applyFill="1" applyBorder="1"/>
    <xf numFmtId="0" fontId="0" fillId="9" borderId="19" xfId="0" applyFill="1" applyBorder="1"/>
    <xf numFmtId="0" fontId="0" fillId="9" borderId="29" xfId="0" applyFill="1" applyBorder="1"/>
    <xf numFmtId="0" fontId="3" fillId="11" borderId="6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2" fontId="4" fillId="11" borderId="1" xfId="0" applyNumberFormat="1" applyFont="1" applyFill="1" applyBorder="1" applyAlignment="1">
      <alignment horizontal="center"/>
    </xf>
    <xf numFmtId="2" fontId="4" fillId="11" borderId="2" xfId="0" applyNumberFormat="1" applyFont="1" applyFill="1" applyBorder="1" applyAlignment="1">
      <alignment horizontal="center"/>
    </xf>
    <xf numFmtId="44" fontId="4" fillId="11" borderId="1" xfId="1" applyFont="1" applyFill="1" applyBorder="1" applyAlignment="1">
      <alignment horizontal="center"/>
    </xf>
    <xf numFmtId="1" fontId="4" fillId="11" borderId="1" xfId="0" applyNumberFormat="1" applyFont="1" applyFill="1" applyBorder="1" applyAlignment="1">
      <alignment horizontal="center"/>
    </xf>
    <xf numFmtId="1" fontId="4" fillId="11" borderId="5" xfId="0" applyNumberFormat="1" applyFont="1" applyFill="1" applyBorder="1" applyAlignment="1">
      <alignment horizontal="center"/>
    </xf>
    <xf numFmtId="0" fontId="4" fillId="11" borderId="5" xfId="0" applyFont="1" applyFill="1" applyBorder="1" applyAlignment="1">
      <alignment horizontal="center"/>
    </xf>
    <xf numFmtId="44" fontId="4" fillId="11" borderId="5" xfId="1" applyFont="1" applyFill="1" applyBorder="1" applyAlignment="1">
      <alignment horizontal="center"/>
    </xf>
    <xf numFmtId="2" fontId="4" fillId="11" borderId="5" xfId="0" applyNumberFormat="1" applyFont="1" applyFill="1" applyBorder="1" applyAlignment="1">
      <alignment horizontal="center"/>
    </xf>
    <xf numFmtId="164" fontId="4" fillId="11" borderId="1" xfId="0" applyNumberFormat="1" applyFont="1" applyFill="1" applyBorder="1" applyAlignment="1">
      <alignment horizontal="center"/>
    </xf>
    <xf numFmtId="2" fontId="0" fillId="2" borderId="9" xfId="0" applyNumberFormat="1" applyFill="1" applyBorder="1"/>
    <xf numFmtId="2" fontId="4" fillId="2" borderId="4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4" fillId="11" borderId="9" xfId="0" applyFont="1" applyFill="1" applyBorder="1" applyAlignment="1">
      <alignment horizontal="right"/>
    </xf>
    <xf numFmtId="2" fontId="4" fillId="11" borderId="4" xfId="0" applyNumberFormat="1" applyFont="1" applyFill="1" applyBorder="1" applyAlignment="1">
      <alignment horizontal="left"/>
    </xf>
    <xf numFmtId="0" fontId="3" fillId="11" borderId="1" xfId="0" applyFont="1" applyFill="1" applyBorder="1" applyAlignment="1">
      <alignment horizontal="center"/>
    </xf>
    <xf numFmtId="2" fontId="4" fillId="11" borderId="9" xfId="0" applyNumberFormat="1" applyFont="1" applyFill="1" applyBorder="1" applyAlignment="1">
      <alignment horizontal="right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220066</xdr:colOff>
      <xdr:row>2</xdr:row>
      <xdr:rowOff>285750</xdr:rowOff>
    </xdr:from>
    <xdr:to>
      <xdr:col>5</xdr:col>
      <xdr:colOff>1037253</xdr:colOff>
      <xdr:row>9</xdr:row>
      <xdr:rowOff>199264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 t="11709"/>
        <a:stretch/>
      </xdr:blipFill>
      <xdr:spPr>
        <a:xfrm>
          <a:off x="220066" y="314908"/>
          <a:ext cx="5358863" cy="911370"/>
        </a:xfrm>
        <a:prstGeom prst="rect">
          <a:avLst/>
        </a:prstGeom>
      </xdr:spPr>
    </xdr:pic>
    <xdr:clientData/>
  </xdr:twoCellAnchor>
  <xdr:twoCellAnchor editAs="oneCell">
    <xdr:from>
      <xdr:col>3</xdr:col>
      <xdr:colOff>858805</xdr:colOff>
      <xdr:row>82</xdr:row>
      <xdr:rowOff>155704</xdr:rowOff>
    </xdr:from>
    <xdr:to>
      <xdr:col>9</xdr:col>
      <xdr:colOff>922667</xdr:colOff>
      <xdr:row>88</xdr:row>
      <xdr:rowOff>127127</xdr:rowOff>
    </xdr:to>
    <xdr:pic>
      <xdr:nvPicPr>
        <xdr:cNvPr id="10" name="Imagem 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/>
        <a:stretch/>
      </xdr:blipFill>
      <xdr:spPr>
        <a:xfrm>
          <a:off x="3144805" y="14633704"/>
          <a:ext cx="3875807" cy="1091097"/>
        </a:xfrm>
        <a:prstGeom prst="rect">
          <a:avLst/>
        </a:prstGeom>
      </xdr:spPr>
    </xdr:pic>
    <xdr:clientData/>
  </xdr:twoCellAnchor>
  <xdr:twoCellAnchor editAs="oneCell">
    <xdr:from>
      <xdr:col>4</xdr:col>
      <xdr:colOff>331788</xdr:colOff>
      <xdr:row>105</xdr:row>
      <xdr:rowOff>19050</xdr:rowOff>
    </xdr:from>
    <xdr:to>
      <xdr:col>9</xdr:col>
      <xdr:colOff>58039</xdr:colOff>
      <xdr:row>116</xdr:row>
      <xdr:rowOff>19050</xdr:rowOff>
    </xdr:to>
    <xdr:pic>
      <xdr:nvPicPr>
        <xdr:cNvPr id="4" name="Imagem 3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1261" b="72331"/>
        <a:stretch/>
      </xdr:blipFill>
      <xdr:spPr>
        <a:xfrm>
          <a:off x="3189288" y="18640425"/>
          <a:ext cx="2587625" cy="2095500"/>
        </a:xfrm>
        <a:prstGeom prst="rect">
          <a:avLst/>
        </a:prstGeom>
      </xdr:spPr>
    </xdr:pic>
    <xdr:clientData/>
  </xdr:twoCellAnchor>
  <xdr:twoCellAnchor editAs="oneCell">
    <xdr:from>
      <xdr:col>0</xdr:col>
      <xdr:colOff>379413</xdr:colOff>
      <xdr:row>104</xdr:row>
      <xdr:rowOff>165100</xdr:rowOff>
    </xdr:from>
    <xdr:to>
      <xdr:col>3</xdr:col>
      <xdr:colOff>650979</xdr:colOff>
      <xdr:row>116</xdr:row>
      <xdr:rowOff>2720</xdr:rowOff>
    </xdr:to>
    <xdr:pic>
      <xdr:nvPicPr>
        <xdr:cNvPr id="11" name="Imagem 10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3412" b="72079"/>
        <a:stretch/>
      </xdr:blipFill>
      <xdr:spPr>
        <a:xfrm>
          <a:off x="379413" y="18595975"/>
          <a:ext cx="2471738" cy="2114550"/>
        </a:xfrm>
        <a:prstGeom prst="rect">
          <a:avLst/>
        </a:prstGeom>
      </xdr:spPr>
    </xdr:pic>
    <xdr:clientData/>
  </xdr:twoCellAnchor>
  <xdr:twoCellAnchor editAs="oneCell">
    <xdr:from>
      <xdr:col>12</xdr:col>
      <xdr:colOff>47624</xdr:colOff>
      <xdr:row>2</xdr:row>
      <xdr:rowOff>28575</xdr:rowOff>
    </xdr:from>
    <xdr:to>
      <xdr:col>12</xdr:col>
      <xdr:colOff>1048197</xdr:colOff>
      <xdr:row>9</xdr:row>
      <xdr:rowOff>152400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4" y="57150"/>
          <a:ext cx="1029148" cy="1133475"/>
        </a:xfrm>
        <a:prstGeom prst="rect">
          <a:avLst/>
        </a:prstGeom>
      </xdr:spPr>
    </xdr:pic>
    <xdr:clientData/>
  </xdr:twoCellAnchor>
  <xdr:twoCellAnchor editAs="oneCell">
    <xdr:from>
      <xdr:col>3</xdr:col>
      <xdr:colOff>359375</xdr:colOff>
      <xdr:row>88</xdr:row>
      <xdr:rowOff>96465</xdr:rowOff>
    </xdr:from>
    <xdr:to>
      <xdr:col>11</xdr:col>
      <xdr:colOff>162607</xdr:colOff>
      <xdr:row>105</xdr:row>
      <xdr:rowOff>120279</xdr:rowOff>
    </xdr:to>
    <xdr:pic>
      <xdr:nvPicPr>
        <xdr:cNvPr id="7" name="Imagem 6"/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0658" t="18584" r="30155" b="20147"/>
        <a:stretch/>
      </xdr:blipFill>
      <xdr:spPr>
        <a:xfrm>
          <a:off x="2452283" y="15226312"/>
          <a:ext cx="4619513" cy="31080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2"/>
  <sheetViews>
    <sheetView tabSelected="1" zoomScale="98" zoomScaleNormal="98" workbookViewId="0">
      <selection activeCell="L54" sqref="L54"/>
    </sheetView>
  </sheetViews>
  <sheetFormatPr defaultRowHeight="15"/>
  <cols>
    <col min="1" max="1" width="13.7109375" style="1" customWidth="1"/>
    <col min="2" max="2" width="10" customWidth="1"/>
    <col min="3" max="3" width="9.7109375" customWidth="1"/>
    <col min="4" max="4" width="12.85546875" customWidth="1"/>
    <col min="5" max="5" width="12.140625" customWidth="1"/>
    <col min="6" max="6" width="16.140625" customWidth="1"/>
    <col min="7" max="7" width="15.28515625" hidden="1" customWidth="1"/>
    <col min="8" max="9" width="7.140625" customWidth="1"/>
    <col min="10" max="10" width="13.85546875" customWidth="1"/>
    <col min="11" max="11" width="0.140625" hidden="1" customWidth="1"/>
    <col min="12" max="12" width="15.5703125" customWidth="1"/>
    <col min="13" max="13" width="15.7109375" customWidth="1"/>
    <col min="14" max="14" width="27.28515625" customWidth="1"/>
    <col min="15" max="15" width="18.28515625" customWidth="1"/>
    <col min="16" max="16" width="16.7109375" customWidth="1"/>
    <col min="17" max="17" width="19.42578125" customWidth="1"/>
    <col min="18" max="18" width="11.85546875" customWidth="1"/>
  </cols>
  <sheetData>
    <row r="1" spans="1:13" ht="2.25" customHeight="1">
      <c r="E1" s="2"/>
    </row>
    <row r="2" spans="1:13" ht="4.5" hidden="1" customHeight="1"/>
    <row r="3" spans="1:13" ht="23.25" customHeight="1">
      <c r="A3" s="51"/>
      <c r="B3" s="3" t="s">
        <v>73</v>
      </c>
    </row>
    <row r="4" spans="1:13" ht="6" hidden="1" customHeight="1"/>
    <row r="5" spans="1:13" ht="5.25" hidden="1" customHeight="1"/>
    <row r="6" spans="1:13" ht="6" customHeight="1">
      <c r="L6" s="4"/>
    </row>
    <row r="7" spans="1:13" ht="24.75">
      <c r="C7" s="40" t="s">
        <v>74</v>
      </c>
    </row>
    <row r="9" spans="1:13" ht="10.5" customHeight="1">
      <c r="J9" s="169"/>
    </row>
    <row r="10" spans="1:13" ht="19.5" thickBot="1">
      <c r="J10" s="136"/>
      <c r="K10" s="2"/>
      <c r="L10" s="2"/>
    </row>
    <row r="11" spans="1:13" ht="19.5" thickBot="1">
      <c r="A11" s="172" t="s">
        <v>129</v>
      </c>
      <c r="B11" s="173"/>
      <c r="E11" s="42"/>
      <c r="I11" s="134"/>
      <c r="J11" s="170"/>
      <c r="L11" s="171"/>
      <c r="M11" s="136"/>
    </row>
    <row r="12" spans="1:13" ht="15.75" thickBot="1">
      <c r="D12" s="60" t="s">
        <v>92</v>
      </c>
      <c r="E12" s="41" t="s">
        <v>3</v>
      </c>
      <c r="F12" s="60" t="s">
        <v>92</v>
      </c>
      <c r="G12" s="60"/>
      <c r="H12" s="42"/>
      <c r="I12" s="35"/>
      <c r="J12" s="77" t="s">
        <v>99</v>
      </c>
      <c r="K12" s="77"/>
      <c r="L12" s="77"/>
      <c r="M12" s="77"/>
    </row>
    <row r="13" spans="1:13" ht="15.75" thickBot="1">
      <c r="A13" s="57" t="s">
        <v>15</v>
      </c>
      <c r="B13" s="58" t="s">
        <v>16</v>
      </c>
      <c r="C13" s="58" t="s">
        <v>0</v>
      </c>
      <c r="D13" s="58" t="s">
        <v>94</v>
      </c>
      <c r="E13" s="57" t="s">
        <v>1</v>
      </c>
      <c r="F13" s="60" t="s">
        <v>93</v>
      </c>
      <c r="G13" s="86" t="s">
        <v>103</v>
      </c>
      <c r="H13" s="59" t="s">
        <v>8</v>
      </c>
      <c r="I13" s="84" t="s">
        <v>96</v>
      </c>
      <c r="J13" s="89" t="s">
        <v>2</v>
      </c>
      <c r="K13" s="58" t="s">
        <v>104</v>
      </c>
      <c r="L13" s="85" t="s">
        <v>75</v>
      </c>
      <c r="M13" s="58" t="s">
        <v>72</v>
      </c>
    </row>
    <row r="14" spans="1:13">
      <c r="A14" s="92" t="s">
        <v>5</v>
      </c>
      <c r="B14" s="93" t="s">
        <v>17</v>
      </c>
      <c r="C14" s="16">
        <v>86.05</v>
      </c>
      <c r="D14" s="16"/>
      <c r="E14" s="94">
        <v>11.52</v>
      </c>
      <c r="F14" s="16">
        <f>C14+E14</f>
        <v>97.57</v>
      </c>
      <c r="G14" s="95">
        <f>(5150*1.125*1.09)*F14*1.05</f>
        <v>646981.48659375019</v>
      </c>
      <c r="H14" s="107">
        <v>10</v>
      </c>
      <c r="I14" s="108" t="s">
        <v>100</v>
      </c>
      <c r="J14" s="98">
        <v>28.19</v>
      </c>
      <c r="K14" s="99">
        <f>(3000*1.09)*J14*1.05</f>
        <v>96790.36500000002</v>
      </c>
      <c r="L14" s="34">
        <f t="shared" ref="L14:L34" si="0">F14+J14</f>
        <v>125.75999999999999</v>
      </c>
      <c r="M14" s="100">
        <f>G14+K14</f>
        <v>743771.85159375018</v>
      </c>
    </row>
    <row r="15" spans="1:13">
      <c r="A15" s="83" t="s">
        <v>6</v>
      </c>
      <c r="B15" s="101" t="s">
        <v>17</v>
      </c>
      <c r="C15" s="102">
        <v>83.16</v>
      </c>
      <c r="D15" s="102"/>
      <c r="E15" s="103">
        <v>11.14</v>
      </c>
      <c r="F15" s="16">
        <f>C15+E15</f>
        <v>94.3</v>
      </c>
      <c r="G15" s="95">
        <f>(5380*1.125*1.09)*F15*1.05</f>
        <v>653224.23337500007</v>
      </c>
      <c r="H15" s="107">
        <v>9</v>
      </c>
      <c r="I15" s="107" t="s">
        <v>100</v>
      </c>
      <c r="J15" s="93">
        <v>28.57</v>
      </c>
      <c r="K15" s="99">
        <f>(3000*1.09)*J15*1.05</f>
        <v>98095.095000000016</v>
      </c>
      <c r="L15" s="34">
        <f t="shared" si="0"/>
        <v>122.87</v>
      </c>
      <c r="M15" s="100">
        <f t="shared" ref="M15:M33" si="1">G15+K15</f>
        <v>751319.32837500004</v>
      </c>
    </row>
    <row r="16" spans="1:13">
      <c r="A16" s="92" t="s">
        <v>9</v>
      </c>
      <c r="B16" s="93" t="s">
        <v>18</v>
      </c>
      <c r="C16" s="16">
        <v>104.68</v>
      </c>
      <c r="D16" s="16">
        <v>55.81</v>
      </c>
      <c r="E16" s="94">
        <v>16.27</v>
      </c>
      <c r="F16" s="16">
        <f>C16+D16+E16</f>
        <v>176.76000000000002</v>
      </c>
      <c r="G16" s="95">
        <f>(5300*1.125*1.09)*(F16-D16/1.7)*1.05</f>
        <v>982194.02847794141</v>
      </c>
      <c r="H16" s="97" t="s">
        <v>51</v>
      </c>
      <c r="I16" s="97"/>
      <c r="J16" s="16">
        <v>39.86</v>
      </c>
      <c r="K16" s="99">
        <f>(3000*1.09)*J16*0.8*1.05</f>
        <v>109487.44800000002</v>
      </c>
      <c r="L16" s="34">
        <f t="shared" si="0"/>
        <v>216.62</v>
      </c>
      <c r="M16" s="100">
        <f t="shared" si="1"/>
        <v>1091681.4764779415</v>
      </c>
    </row>
    <row r="17" spans="1:20">
      <c r="A17" s="151" t="s">
        <v>10</v>
      </c>
      <c r="B17" s="152" t="s">
        <v>17</v>
      </c>
      <c r="C17" s="153">
        <v>84.98</v>
      </c>
      <c r="D17" s="153">
        <v>49.9</v>
      </c>
      <c r="E17" s="154">
        <v>13.4</v>
      </c>
      <c r="F17" s="155">
        <f>C17+D17+E17</f>
        <v>148.28</v>
      </c>
      <c r="G17" s="156">
        <f>(5350*1.125*1.09)*(F17-D17/1.7)*1.05</f>
        <v>819224.21329411783</v>
      </c>
      <c r="H17" s="157" t="s">
        <v>60</v>
      </c>
      <c r="I17" s="158" t="s">
        <v>100</v>
      </c>
      <c r="J17" s="159">
        <v>59.55</v>
      </c>
      <c r="K17" s="160">
        <f>(3000*1.09)*J17*0.8*1.05</f>
        <v>163571.94000000003</v>
      </c>
      <c r="L17" s="161">
        <f t="shared" si="0"/>
        <v>207.82999999999998</v>
      </c>
      <c r="M17" s="162" t="s">
        <v>118</v>
      </c>
    </row>
    <row r="18" spans="1:20">
      <c r="A18" s="151" t="s">
        <v>12</v>
      </c>
      <c r="B18" s="152" t="s">
        <v>18</v>
      </c>
      <c r="C18" s="155">
        <v>104.16</v>
      </c>
      <c r="D18" s="155">
        <v>55.64</v>
      </c>
      <c r="E18" s="186">
        <v>16.190000000000001</v>
      </c>
      <c r="F18" s="155">
        <f t="shared" ref="F18:F34" si="2">C18+D18+E18</f>
        <v>175.99</v>
      </c>
      <c r="G18" s="156">
        <f>(5350*1.125*1.09)*(F18-D18/1.7)*1.05</f>
        <v>986844.74209742656</v>
      </c>
      <c r="H18" s="158" t="s">
        <v>53</v>
      </c>
      <c r="I18" s="158"/>
      <c r="J18" s="155">
        <v>39.86</v>
      </c>
      <c r="K18" s="160">
        <f>(3000*1.09)*J18*0.8*1.05</f>
        <v>109487.44800000002</v>
      </c>
      <c r="L18" s="161">
        <f t="shared" si="0"/>
        <v>215.85000000000002</v>
      </c>
      <c r="M18" s="162" t="s">
        <v>118</v>
      </c>
    </row>
    <row r="19" spans="1:20">
      <c r="A19" s="205" t="s">
        <v>13</v>
      </c>
      <c r="B19" s="138" t="s">
        <v>17</v>
      </c>
      <c r="C19" s="146">
        <v>84.56</v>
      </c>
      <c r="D19" s="146"/>
      <c r="E19" s="139">
        <v>11.33</v>
      </c>
      <c r="F19" s="139">
        <f t="shared" si="2"/>
        <v>95.89</v>
      </c>
      <c r="G19" s="141">
        <f>(5250*1.125*1.09)*F19*1.05</f>
        <v>648187.93265625008</v>
      </c>
      <c r="H19" s="142">
        <v>8</v>
      </c>
      <c r="I19" s="142" t="s">
        <v>100</v>
      </c>
      <c r="J19" s="139">
        <v>31.45</v>
      </c>
      <c r="K19" s="143">
        <f>(3000*1.09)*J19*1.05</f>
        <v>107983.57500000003</v>
      </c>
      <c r="L19" s="144">
        <f t="shared" si="0"/>
        <v>127.34</v>
      </c>
      <c r="M19" s="145">
        <f>G19+K19</f>
        <v>756171.50765625015</v>
      </c>
      <c r="N19" s="76"/>
    </row>
    <row r="20" spans="1:20">
      <c r="A20" s="83" t="s">
        <v>29</v>
      </c>
      <c r="B20" s="93" t="s">
        <v>17</v>
      </c>
      <c r="C20" s="16">
        <v>86.05</v>
      </c>
      <c r="D20" s="16"/>
      <c r="E20" s="94">
        <v>11.52</v>
      </c>
      <c r="F20" s="16">
        <f t="shared" si="2"/>
        <v>97.57</v>
      </c>
      <c r="G20" s="95">
        <f>(5260*1.125*1.09)*F20*1.05</f>
        <v>660800.50863750011</v>
      </c>
      <c r="H20" s="107">
        <v>7</v>
      </c>
      <c r="I20" s="107" t="s">
        <v>100</v>
      </c>
      <c r="J20" s="16">
        <v>30.84</v>
      </c>
      <c r="K20" s="99">
        <f>(3000*1.09)*J20*1.05</f>
        <v>105889.14000000003</v>
      </c>
      <c r="L20" s="34">
        <f t="shared" si="0"/>
        <v>128.41</v>
      </c>
      <c r="M20" s="100">
        <f t="shared" si="1"/>
        <v>766689.64863750013</v>
      </c>
    </row>
    <row r="21" spans="1:20">
      <c r="A21" s="104" t="s">
        <v>30</v>
      </c>
      <c r="B21" s="93" t="s">
        <v>17</v>
      </c>
      <c r="C21" s="34">
        <v>83.16</v>
      </c>
      <c r="D21" s="34"/>
      <c r="E21" s="16">
        <v>11.14</v>
      </c>
      <c r="F21" s="16">
        <f t="shared" si="2"/>
        <v>94.3</v>
      </c>
      <c r="G21" s="95">
        <f>(5570*1.125*1.09)*F21*1.05</f>
        <v>676293.4906875001</v>
      </c>
      <c r="H21" s="107">
        <v>6</v>
      </c>
      <c r="I21" s="107" t="s">
        <v>100</v>
      </c>
      <c r="J21" s="93">
        <v>28.13</v>
      </c>
      <c r="K21" s="99">
        <f>(3000*1.09)*J21*1.05</f>
        <v>96584.35500000001</v>
      </c>
      <c r="L21" s="34">
        <f t="shared" si="0"/>
        <v>122.42999999999999</v>
      </c>
      <c r="M21" s="100">
        <f t="shared" si="1"/>
        <v>772877.84568750008</v>
      </c>
      <c r="N21" s="68"/>
      <c r="O21" s="37"/>
      <c r="P21" s="36"/>
      <c r="Q21" s="38"/>
      <c r="R21" s="36"/>
      <c r="S21" s="39"/>
      <c r="T21" s="35"/>
    </row>
    <row r="22" spans="1:20">
      <c r="A22" s="92" t="s">
        <v>31</v>
      </c>
      <c r="B22" s="93" t="s">
        <v>18</v>
      </c>
      <c r="C22" s="16">
        <v>104.68</v>
      </c>
      <c r="D22" s="16"/>
      <c r="E22" s="94">
        <v>14.03</v>
      </c>
      <c r="F22" s="16">
        <f t="shared" si="2"/>
        <v>118.71000000000001</v>
      </c>
      <c r="G22" s="95">
        <f>(5430*1.125*1.09)*F22*1.05</f>
        <v>829956.73595625022</v>
      </c>
      <c r="H22" s="96" t="s">
        <v>54</v>
      </c>
      <c r="I22" s="96"/>
      <c r="J22" s="93">
        <v>37.96</v>
      </c>
      <c r="K22" s="99">
        <f>(3000*1.09)*J22*0.8*1.05</f>
        <v>104268.52800000003</v>
      </c>
      <c r="L22" s="34">
        <f t="shared" si="0"/>
        <v>156.67000000000002</v>
      </c>
      <c r="M22" s="100">
        <f t="shared" si="1"/>
        <v>934225.26395625027</v>
      </c>
    </row>
    <row r="23" spans="1:20">
      <c r="A23" s="83" t="s">
        <v>32</v>
      </c>
      <c r="B23" s="93" t="s">
        <v>17</v>
      </c>
      <c r="C23" s="16">
        <v>84.98</v>
      </c>
      <c r="D23" s="16"/>
      <c r="E23" s="105">
        <v>11.39</v>
      </c>
      <c r="F23" s="16">
        <f t="shared" si="2"/>
        <v>96.37</v>
      </c>
      <c r="G23" s="95">
        <f>(5400*1.125*1.09*1.05)*F23*1.05</f>
        <v>703547.19736875023</v>
      </c>
      <c r="H23" s="107">
        <v>5</v>
      </c>
      <c r="I23" s="108" t="s">
        <v>100</v>
      </c>
      <c r="J23" s="98">
        <v>28.13</v>
      </c>
      <c r="K23" s="99">
        <f>(3000*1.09)*J23*1.05</f>
        <v>96584.35500000001</v>
      </c>
      <c r="L23" s="34">
        <f t="shared" si="0"/>
        <v>124.5</v>
      </c>
      <c r="M23" s="100">
        <f t="shared" si="1"/>
        <v>800131.55236875021</v>
      </c>
    </row>
    <row r="24" spans="1:20" ht="15.75" customHeight="1">
      <c r="A24" s="113" t="s">
        <v>33</v>
      </c>
      <c r="B24" s="114" t="s">
        <v>18</v>
      </c>
      <c r="C24" s="115">
        <v>104.16</v>
      </c>
      <c r="D24" s="115"/>
      <c r="E24" s="116">
        <v>13.95</v>
      </c>
      <c r="F24" s="115">
        <f t="shared" si="2"/>
        <v>118.11</v>
      </c>
      <c r="G24" s="117">
        <f>(5500*1.125*1.09*1.05)*F24*1.05</f>
        <v>878227.38970312523</v>
      </c>
      <c r="H24" s="125" t="s">
        <v>55</v>
      </c>
      <c r="I24" s="125"/>
      <c r="J24" s="114">
        <v>37.96</v>
      </c>
      <c r="K24" s="119">
        <f>(3000*1.09)*J24*0.8*1.05</f>
        <v>104268.52800000003</v>
      </c>
      <c r="L24" s="120">
        <f t="shared" si="0"/>
        <v>156.07</v>
      </c>
      <c r="M24" s="121">
        <f t="shared" si="1"/>
        <v>982495.91770312528</v>
      </c>
      <c r="N24" s="76"/>
    </row>
    <row r="25" spans="1:20">
      <c r="A25" s="92" t="s">
        <v>34</v>
      </c>
      <c r="B25" s="93" t="s">
        <v>17</v>
      </c>
      <c r="C25" s="16">
        <v>84.56</v>
      </c>
      <c r="D25" s="16"/>
      <c r="E25" s="105">
        <v>11.33</v>
      </c>
      <c r="F25" s="16">
        <f t="shared" si="2"/>
        <v>95.89</v>
      </c>
      <c r="G25" s="95">
        <f>(5500*1.125*1.09)*F25*1.05</f>
        <v>679054.0246875002</v>
      </c>
      <c r="H25" s="107">
        <v>4</v>
      </c>
      <c r="I25" s="107" t="s">
        <v>100</v>
      </c>
      <c r="J25" s="16">
        <v>28.51</v>
      </c>
      <c r="K25" s="99">
        <f>(3000*1.09)*J25*1.05</f>
        <v>97889.085000000021</v>
      </c>
      <c r="L25" s="34">
        <f t="shared" si="0"/>
        <v>124.4</v>
      </c>
      <c r="M25" s="100">
        <f t="shared" si="1"/>
        <v>776943.10968750017</v>
      </c>
      <c r="N25" s="68"/>
      <c r="O25" s="37"/>
      <c r="P25" s="36"/>
      <c r="Q25" s="38"/>
      <c r="R25" s="36"/>
      <c r="S25" s="39"/>
      <c r="T25" s="35"/>
    </row>
    <row r="26" spans="1:20">
      <c r="A26" s="83" t="s">
        <v>35</v>
      </c>
      <c r="B26" s="93" t="s">
        <v>17</v>
      </c>
      <c r="C26" s="16">
        <v>86.05</v>
      </c>
      <c r="D26" s="16"/>
      <c r="E26" s="94">
        <v>11.52</v>
      </c>
      <c r="F26" s="16">
        <f t="shared" si="2"/>
        <v>97.57</v>
      </c>
      <c r="G26" s="95">
        <f>(5500*1.125*1.09)*F26*1.05</f>
        <v>690951.1021875001</v>
      </c>
      <c r="H26" s="107">
        <v>3</v>
      </c>
      <c r="I26" s="107" t="s">
        <v>100</v>
      </c>
      <c r="J26" s="16">
        <v>28.51</v>
      </c>
      <c r="K26" s="99">
        <f>(3000*1.09)*J26*1.05</f>
        <v>97889.085000000021</v>
      </c>
      <c r="L26" s="34">
        <f t="shared" si="0"/>
        <v>126.08</v>
      </c>
      <c r="M26" s="100">
        <f t="shared" si="1"/>
        <v>788840.18718750007</v>
      </c>
      <c r="N26" s="35"/>
      <c r="O26" s="35"/>
      <c r="P26" s="35"/>
      <c r="Q26" s="35"/>
      <c r="R26" s="35"/>
      <c r="S26" s="35"/>
      <c r="T26" s="35"/>
    </row>
    <row r="27" spans="1:20">
      <c r="A27" s="106" t="s">
        <v>36</v>
      </c>
      <c r="B27" s="93" t="s">
        <v>17</v>
      </c>
      <c r="C27" s="34">
        <v>83.16</v>
      </c>
      <c r="D27" s="34"/>
      <c r="E27" s="105">
        <v>11.14</v>
      </c>
      <c r="F27" s="16">
        <f t="shared" si="2"/>
        <v>94.3</v>
      </c>
      <c r="G27" s="95">
        <f>(5570*1.125*1.09)*F27*1.05</f>
        <v>676293.4906875001</v>
      </c>
      <c r="H27" s="97" t="s">
        <v>57</v>
      </c>
      <c r="I27" s="97"/>
      <c r="J27" s="98">
        <v>37.96</v>
      </c>
      <c r="K27" s="99">
        <f>(3000*1.09)*J27*0.8*1.05</f>
        <v>104268.52800000003</v>
      </c>
      <c r="L27" s="34">
        <f t="shared" si="0"/>
        <v>132.26</v>
      </c>
      <c r="M27" s="100">
        <f t="shared" si="1"/>
        <v>780562.01868750015</v>
      </c>
    </row>
    <row r="28" spans="1:20">
      <c r="A28" s="83" t="s">
        <v>37</v>
      </c>
      <c r="B28" s="93" t="s">
        <v>18</v>
      </c>
      <c r="C28" s="16">
        <v>104.68</v>
      </c>
      <c r="D28" s="16"/>
      <c r="E28" s="94">
        <v>14.03</v>
      </c>
      <c r="F28" s="16">
        <f t="shared" si="2"/>
        <v>118.71000000000001</v>
      </c>
      <c r="G28" s="95">
        <f>(5600*1.125*1.09)*F28*1.05</f>
        <v>855940.64850000024</v>
      </c>
      <c r="H28" s="108" t="s">
        <v>52</v>
      </c>
      <c r="I28" s="97"/>
      <c r="J28" s="93">
        <v>38.54</v>
      </c>
      <c r="K28" s="99">
        <f>(2600*1.09)*J28*0.8*1.05</f>
        <v>91746.782400000011</v>
      </c>
      <c r="L28" s="34">
        <f t="shared" si="0"/>
        <v>157.25</v>
      </c>
      <c r="M28" s="100">
        <f t="shared" si="1"/>
        <v>947687.43090000027</v>
      </c>
    </row>
    <row r="29" spans="1:20">
      <c r="A29" s="122" t="s">
        <v>38</v>
      </c>
      <c r="B29" s="114" t="s">
        <v>17</v>
      </c>
      <c r="C29" s="126">
        <v>84.98</v>
      </c>
      <c r="D29" s="126"/>
      <c r="E29" s="128">
        <v>11.39</v>
      </c>
      <c r="F29" s="115">
        <f t="shared" si="2"/>
        <v>96.37</v>
      </c>
      <c r="G29" s="117">
        <f>(5550*1.125*1.09*1.05)*F29*1.05</f>
        <v>723090.17507343774</v>
      </c>
      <c r="H29" s="125" t="s">
        <v>62</v>
      </c>
      <c r="I29" s="118"/>
      <c r="J29" s="120">
        <v>39.86</v>
      </c>
      <c r="K29" s="119">
        <f>(3000*1.09)*J29*0.8*1.05</f>
        <v>109487.44800000002</v>
      </c>
      <c r="L29" s="120">
        <f t="shared" si="0"/>
        <v>136.23000000000002</v>
      </c>
      <c r="M29" s="121">
        <f t="shared" si="1"/>
        <v>832577.62307343772</v>
      </c>
    </row>
    <row r="30" spans="1:20" ht="15" customHeight="1">
      <c r="A30" s="113" t="s">
        <v>39</v>
      </c>
      <c r="B30" s="114" t="s">
        <v>18</v>
      </c>
      <c r="C30" s="115">
        <v>104.16</v>
      </c>
      <c r="D30" s="115"/>
      <c r="E30" s="116">
        <v>13.95</v>
      </c>
      <c r="F30" s="115">
        <f>C30+D30+E30</f>
        <v>118.11</v>
      </c>
      <c r="G30" s="117">
        <f>(5700*1.125*1.09*1.05)*F30*1.05</f>
        <v>910162.93114687526</v>
      </c>
      <c r="H30" s="125" t="s">
        <v>59</v>
      </c>
      <c r="I30" s="125"/>
      <c r="J30" s="114">
        <v>37.96</v>
      </c>
      <c r="K30" s="119">
        <f>(3000*1.09)*J30*0.8*1.05</f>
        <v>104268.52800000003</v>
      </c>
      <c r="L30" s="120">
        <f t="shared" si="0"/>
        <v>156.07</v>
      </c>
      <c r="M30" s="121">
        <f t="shared" si="1"/>
        <v>1014431.4591468753</v>
      </c>
    </row>
    <row r="31" spans="1:20">
      <c r="A31" s="151" t="s">
        <v>40</v>
      </c>
      <c r="B31" s="152" t="s">
        <v>17</v>
      </c>
      <c r="C31" s="155">
        <v>84.56</v>
      </c>
      <c r="D31" s="155"/>
      <c r="E31" s="165">
        <v>11.33</v>
      </c>
      <c r="F31" s="155">
        <f t="shared" si="2"/>
        <v>95.89</v>
      </c>
      <c r="G31" s="156">
        <f>(5660*1.125*1.09)*F31*1.05</f>
        <v>698808.32358750002</v>
      </c>
      <c r="H31" s="158" t="s">
        <v>56</v>
      </c>
      <c r="I31" s="158"/>
      <c r="J31" s="159">
        <v>38.94</v>
      </c>
      <c r="K31" s="160">
        <f>(3000*1.09)*J31*0.8*1.05</f>
        <v>106960.39200000002</v>
      </c>
      <c r="L31" s="161">
        <f t="shared" si="0"/>
        <v>134.82999999999998</v>
      </c>
      <c r="M31" s="162" t="s">
        <v>118</v>
      </c>
    </row>
    <row r="32" spans="1:20" ht="15" customHeight="1">
      <c r="A32" s="83" t="s">
        <v>14</v>
      </c>
      <c r="B32" s="93" t="s">
        <v>18</v>
      </c>
      <c r="C32" s="16">
        <v>135.32</v>
      </c>
      <c r="D32" s="16"/>
      <c r="E32" s="94">
        <v>18.12</v>
      </c>
      <c r="F32" s="16">
        <f t="shared" si="2"/>
        <v>153.44</v>
      </c>
      <c r="G32" s="95">
        <f>(5750*1.125*1.09*1.03)*F32*1.05</f>
        <v>1170070.3617750003</v>
      </c>
      <c r="H32" s="109" t="s">
        <v>63</v>
      </c>
      <c r="I32" s="109" t="s">
        <v>100</v>
      </c>
      <c r="J32" s="16">
        <v>52.66</v>
      </c>
      <c r="K32" s="99">
        <f>(3000*1.09)*J32*1.05</f>
        <v>180808.11000000002</v>
      </c>
      <c r="L32" s="34">
        <f t="shared" si="0"/>
        <v>206.1</v>
      </c>
      <c r="M32" s="100">
        <f t="shared" si="1"/>
        <v>1350878.4717750004</v>
      </c>
    </row>
    <row r="33" spans="1:20" ht="15" customHeight="1">
      <c r="A33" s="83" t="s">
        <v>7</v>
      </c>
      <c r="B33" s="93" t="s">
        <v>17</v>
      </c>
      <c r="C33" s="34">
        <v>84.98</v>
      </c>
      <c r="D33" s="34"/>
      <c r="E33" s="105">
        <v>11.39</v>
      </c>
      <c r="F33" s="16">
        <f t="shared" si="2"/>
        <v>96.37</v>
      </c>
      <c r="G33" s="95">
        <f>(5600*1.125*1.09*1.03)*F33*1.05</f>
        <v>715707.27238500013</v>
      </c>
      <c r="H33" s="96" t="s">
        <v>61</v>
      </c>
      <c r="I33" s="96"/>
      <c r="J33" s="16">
        <v>39.86</v>
      </c>
      <c r="K33" s="99">
        <f>(3000*1.09)*J33*0.8*1.05</f>
        <v>109487.44800000002</v>
      </c>
      <c r="L33" s="34">
        <f t="shared" si="0"/>
        <v>136.23000000000002</v>
      </c>
      <c r="M33" s="100">
        <f t="shared" si="1"/>
        <v>825194.72038500011</v>
      </c>
    </row>
    <row r="34" spans="1:20">
      <c r="A34" s="163" t="s">
        <v>11</v>
      </c>
      <c r="B34" s="164" t="s">
        <v>18</v>
      </c>
      <c r="C34" s="155">
        <v>135.38999999999999</v>
      </c>
      <c r="D34" s="155"/>
      <c r="E34" s="165">
        <v>18.13</v>
      </c>
      <c r="F34" s="155">
        <f t="shared" si="2"/>
        <v>153.51999999999998</v>
      </c>
      <c r="G34" s="156">
        <f>(5750*1.125*1.09*1.03)*F34*1.05</f>
        <v>1170680.4088874999</v>
      </c>
      <c r="H34" s="157" t="s">
        <v>58</v>
      </c>
      <c r="I34" s="157" t="s">
        <v>100</v>
      </c>
      <c r="J34" s="155">
        <v>44.4</v>
      </c>
      <c r="K34" s="160">
        <f>(3000*1.09)*J34*0.8*1.05</f>
        <v>121957.92000000003</v>
      </c>
      <c r="L34" s="161">
        <f t="shared" si="0"/>
        <v>197.92</v>
      </c>
      <c r="M34" s="162" t="s">
        <v>118</v>
      </c>
    </row>
    <row r="35" spans="1:20">
      <c r="A35" s="32" t="s">
        <v>28</v>
      </c>
      <c r="B35" s="20"/>
      <c r="C35" s="23">
        <f>SUM(C14:C34)</f>
        <v>1998.46</v>
      </c>
      <c r="D35" s="21"/>
      <c r="E35" s="23">
        <f>SUM(E14:E34)</f>
        <v>274.21000000000004</v>
      </c>
      <c r="F35" s="21">
        <f>SUM(F14:F34)</f>
        <v>2434.0199999999995</v>
      </c>
      <c r="G35" s="23"/>
      <c r="H35" s="22"/>
      <c r="I35" s="20"/>
      <c r="J35" s="23">
        <f>SUM(J14:J34)</f>
        <v>777.69999999999993</v>
      </c>
      <c r="K35" s="23"/>
      <c r="L35" s="23">
        <f>SUM(L14:L34)</f>
        <v>3211.7200000000003</v>
      </c>
      <c r="M35" s="46">
        <f>SUM(M14:M34)</f>
        <v>14916479.413298883</v>
      </c>
      <c r="N35" s="67"/>
    </row>
    <row r="37" spans="1:20">
      <c r="B37" s="5"/>
      <c r="C37" s="5"/>
      <c r="D37" s="65" t="s">
        <v>95</v>
      </c>
      <c r="E37" s="64" t="s">
        <v>4</v>
      </c>
      <c r="F37" s="65" t="s">
        <v>95</v>
      </c>
      <c r="G37" s="87"/>
      <c r="H37" s="6"/>
      <c r="I37" s="7"/>
      <c r="J37" s="4"/>
      <c r="K37" s="4"/>
      <c r="L37" s="7"/>
      <c r="M37" s="5"/>
    </row>
    <row r="38" spans="1:20">
      <c r="A38" s="61" t="s">
        <v>15</v>
      </c>
      <c r="B38" s="62" t="s">
        <v>16</v>
      </c>
      <c r="C38" s="62" t="s">
        <v>0</v>
      </c>
      <c r="D38" s="62" t="s">
        <v>94</v>
      </c>
      <c r="E38" s="61" t="s">
        <v>1</v>
      </c>
      <c r="F38" s="65" t="s">
        <v>93</v>
      </c>
      <c r="G38" s="88" t="s">
        <v>103</v>
      </c>
      <c r="H38" s="63" t="s">
        <v>8</v>
      </c>
      <c r="I38" s="63"/>
      <c r="J38" s="61" t="s">
        <v>2</v>
      </c>
      <c r="K38" s="61" t="s">
        <v>104</v>
      </c>
      <c r="L38" s="62" t="s">
        <v>75</v>
      </c>
      <c r="M38" s="62" t="s">
        <v>72</v>
      </c>
      <c r="N38" s="35"/>
      <c r="O38" s="35"/>
      <c r="P38" s="35"/>
      <c r="Q38" s="35"/>
      <c r="R38" s="35"/>
      <c r="S38" s="35"/>
      <c r="T38" s="35"/>
    </row>
    <row r="39" spans="1:20">
      <c r="A39" s="137" t="s">
        <v>19</v>
      </c>
      <c r="B39" s="138" t="s">
        <v>17</v>
      </c>
      <c r="C39" s="139">
        <v>86.05</v>
      </c>
      <c r="D39" s="139"/>
      <c r="E39" s="140">
        <v>11.52</v>
      </c>
      <c r="F39" s="139">
        <f>C39+E39</f>
        <v>97.57</v>
      </c>
      <c r="G39" s="141">
        <f>(5150*1.125*1.09)*F39*1.05</f>
        <v>646981.48659375019</v>
      </c>
      <c r="H39" s="142">
        <v>39</v>
      </c>
      <c r="I39" s="142"/>
      <c r="J39" s="138">
        <v>19.98</v>
      </c>
      <c r="K39" s="143">
        <f>(3000*1.09)*J39*1.05</f>
        <v>68601.330000000016</v>
      </c>
      <c r="L39" s="144">
        <f t="shared" ref="L39:M61" si="3">F39+J39</f>
        <v>117.55</v>
      </c>
      <c r="M39" s="145">
        <f>G39+K39</f>
        <v>715582.81659375015</v>
      </c>
      <c r="N39" s="35"/>
      <c r="O39" s="35"/>
      <c r="P39" s="35"/>
      <c r="Q39" s="35"/>
      <c r="R39" s="35"/>
      <c r="S39" s="35"/>
      <c r="T39" s="35"/>
    </row>
    <row r="40" spans="1:20">
      <c r="A40" s="13" t="s">
        <v>20</v>
      </c>
      <c r="B40" s="9" t="s">
        <v>17</v>
      </c>
      <c r="C40" s="10">
        <v>84.56</v>
      </c>
      <c r="D40" s="10"/>
      <c r="E40" s="11">
        <v>11.33</v>
      </c>
      <c r="F40" s="14">
        <f>C40+E40</f>
        <v>95.89</v>
      </c>
      <c r="G40" s="90">
        <f>(5380*1.125*1.09)*F40*1.05</f>
        <v>664238.30051250011</v>
      </c>
      <c r="H40" s="30">
        <v>38</v>
      </c>
      <c r="I40" s="30"/>
      <c r="J40" s="12">
        <v>19.98</v>
      </c>
      <c r="K40" s="91">
        <f>(3000*1.09)*J40*1.05</f>
        <v>68601.330000000016</v>
      </c>
      <c r="L40" s="34">
        <f t="shared" si="3"/>
        <v>115.87</v>
      </c>
      <c r="M40" s="43">
        <f t="shared" si="3"/>
        <v>732839.63051250018</v>
      </c>
      <c r="N40" s="37"/>
      <c r="O40" s="36"/>
      <c r="P40" s="38"/>
      <c r="Q40" s="36"/>
      <c r="R40" s="39"/>
      <c r="S40" s="35"/>
      <c r="T40" s="35"/>
    </row>
    <row r="41" spans="1:20">
      <c r="A41" s="190" t="s">
        <v>21</v>
      </c>
      <c r="B41" s="191" t="s">
        <v>18</v>
      </c>
      <c r="C41" s="194">
        <v>104.16</v>
      </c>
      <c r="D41" s="194">
        <v>56.07</v>
      </c>
      <c r="E41" s="200">
        <v>16.190000000000001</v>
      </c>
      <c r="F41" s="194">
        <f>C41+D41+E41</f>
        <v>176.42</v>
      </c>
      <c r="G41" s="201">
        <f>(5350*1.125*1.09*1.07)*(F41-D41/1.7)*1.05</f>
        <v>1057228.9129330148</v>
      </c>
      <c r="H41" s="208" t="s">
        <v>64</v>
      </c>
      <c r="I41" s="208" t="s">
        <v>100</v>
      </c>
      <c r="J41" s="194">
        <v>52.7</v>
      </c>
      <c r="K41" s="195">
        <f>(3000*1.09)*J41*1.05</f>
        <v>180945.45000000004</v>
      </c>
      <c r="L41" s="198">
        <f t="shared" si="3"/>
        <v>229.12</v>
      </c>
      <c r="M41" s="203">
        <f t="shared" si="3"/>
        <v>1238174.3629330148</v>
      </c>
      <c r="N41" s="35"/>
      <c r="O41" s="35"/>
      <c r="P41" s="35"/>
      <c r="Q41" s="35"/>
      <c r="R41" s="35"/>
      <c r="S41" s="35"/>
      <c r="T41" s="35"/>
    </row>
    <row r="42" spans="1:20" ht="15.75" customHeight="1">
      <c r="A42" s="190" t="s">
        <v>22</v>
      </c>
      <c r="B42" s="191" t="s">
        <v>17</v>
      </c>
      <c r="C42" s="192">
        <v>84.98</v>
      </c>
      <c r="D42" s="192">
        <v>40</v>
      </c>
      <c r="E42" s="193">
        <v>11.39</v>
      </c>
      <c r="F42" s="194">
        <f t="shared" ref="F42:F61" si="4">C42+D42+E42</f>
        <v>136.37</v>
      </c>
      <c r="G42" s="195">
        <f>(5350*1.125*1.09*1.07)*(F42-D42/2.5)*1.05</f>
        <v>887205.3248165627</v>
      </c>
      <c r="H42" s="196">
        <v>37</v>
      </c>
      <c r="I42" s="196"/>
      <c r="J42" s="197">
        <v>19.98</v>
      </c>
      <c r="K42" s="195">
        <f>(3000*1.09)*J42*1.05</f>
        <v>68601.330000000016</v>
      </c>
      <c r="L42" s="198">
        <f t="shared" si="3"/>
        <v>156.35</v>
      </c>
      <c r="M42" s="199">
        <f t="shared" si="3"/>
        <v>955806.65481656278</v>
      </c>
      <c r="N42" s="35"/>
      <c r="O42" s="35"/>
      <c r="P42" s="35"/>
      <c r="Q42" s="35"/>
      <c r="R42" s="35"/>
      <c r="S42" s="35"/>
      <c r="T42" s="35"/>
    </row>
    <row r="43" spans="1:20" ht="6.75" hidden="1" customHeight="1">
      <c r="A43" s="190" t="s">
        <v>23</v>
      </c>
      <c r="B43" s="191" t="s">
        <v>18</v>
      </c>
      <c r="C43" s="194"/>
      <c r="D43" s="194"/>
      <c r="E43" s="200"/>
      <c r="F43" s="194">
        <f t="shared" si="4"/>
        <v>0</v>
      </c>
      <c r="G43" s="195">
        <f t="shared" ref="G43:G44" si="5">(5350*1.125*1.09*1.07)*(F43-D43/2.5)</f>
        <v>0</v>
      </c>
      <c r="H43" s="202">
        <v>37</v>
      </c>
      <c r="I43" s="202"/>
      <c r="J43" s="191"/>
      <c r="K43" s="195">
        <f t="shared" ref="K43:K44" si="6">(3000*1.09)*J43</f>
        <v>0</v>
      </c>
      <c r="L43" s="198">
        <f t="shared" si="3"/>
        <v>0</v>
      </c>
      <c r="M43" s="203">
        <f t="shared" si="3"/>
        <v>0</v>
      </c>
      <c r="N43" s="35"/>
      <c r="O43" s="35"/>
      <c r="P43" s="35"/>
      <c r="Q43" s="35"/>
      <c r="R43" s="35"/>
      <c r="S43" s="35"/>
      <c r="T43" s="35"/>
    </row>
    <row r="44" spans="1:20" hidden="1">
      <c r="A44" s="204" t="s">
        <v>24</v>
      </c>
      <c r="B44" s="191" t="s">
        <v>17</v>
      </c>
      <c r="C44" s="192"/>
      <c r="D44" s="192"/>
      <c r="E44" s="193"/>
      <c r="F44" s="194">
        <f t="shared" si="4"/>
        <v>0</v>
      </c>
      <c r="G44" s="195">
        <f t="shared" si="5"/>
        <v>0</v>
      </c>
      <c r="H44" s="196" t="s">
        <v>65</v>
      </c>
      <c r="I44" s="196"/>
      <c r="J44" s="197"/>
      <c r="K44" s="195">
        <f t="shared" si="6"/>
        <v>0</v>
      </c>
      <c r="L44" s="198">
        <f t="shared" si="3"/>
        <v>0</v>
      </c>
      <c r="M44" s="199">
        <f t="shared" si="3"/>
        <v>0</v>
      </c>
      <c r="N44" s="35"/>
      <c r="O44" s="35"/>
      <c r="P44" s="35"/>
      <c r="Q44" s="35"/>
      <c r="R44" s="35"/>
      <c r="S44" s="35"/>
      <c r="T44" s="35"/>
    </row>
    <row r="45" spans="1:20" ht="15" customHeight="1">
      <c r="A45" s="190" t="s">
        <v>23</v>
      </c>
      <c r="B45" s="191" t="s">
        <v>18</v>
      </c>
      <c r="C45" s="194">
        <v>104.68</v>
      </c>
      <c r="D45" s="194">
        <v>28</v>
      </c>
      <c r="E45" s="200">
        <v>14.03</v>
      </c>
      <c r="F45" s="194">
        <f t="shared" si="4"/>
        <v>146.71</v>
      </c>
      <c r="G45" s="195">
        <f>(5350*1.125*1.09*1.07)*(F45-D45/2.5)*1.05</f>
        <v>998796.98899968783</v>
      </c>
      <c r="H45" s="196" t="s">
        <v>65</v>
      </c>
      <c r="I45" s="196" t="s">
        <v>100</v>
      </c>
      <c r="J45" s="194">
        <v>57.02</v>
      </c>
      <c r="K45" s="195">
        <f t="shared" ref="K45:K52" si="7">(3000*1.09)*J45*1.05</f>
        <v>195778.17000000004</v>
      </c>
      <c r="L45" s="198">
        <f t="shared" si="3"/>
        <v>203.73000000000002</v>
      </c>
      <c r="M45" s="203">
        <f>G45+K45</f>
        <v>1194575.158999688</v>
      </c>
      <c r="N45" s="35"/>
      <c r="O45" s="35"/>
      <c r="P45" s="35"/>
      <c r="Q45" s="35"/>
      <c r="R45" s="35"/>
      <c r="S45" s="35"/>
      <c r="T45" s="35"/>
    </row>
    <row r="46" spans="1:20" ht="15.75" customHeight="1">
      <c r="A46" s="137" t="s">
        <v>24</v>
      </c>
      <c r="B46" s="138" t="s">
        <v>17</v>
      </c>
      <c r="C46" s="146">
        <v>83.16</v>
      </c>
      <c r="D46" s="146" t="s">
        <v>76</v>
      </c>
      <c r="E46" s="147">
        <v>11.14</v>
      </c>
      <c r="F46" s="139">
        <v>94.3</v>
      </c>
      <c r="G46" s="143">
        <f>(5570*1.125*1.09)*F46*1.05</f>
        <v>676293.4906875001</v>
      </c>
      <c r="H46" s="148">
        <v>56</v>
      </c>
      <c r="I46" s="148"/>
      <c r="J46" s="149">
        <v>19.95</v>
      </c>
      <c r="K46" s="143">
        <f t="shared" si="7"/>
        <v>68498.325000000012</v>
      </c>
      <c r="L46" s="144">
        <f t="shared" si="3"/>
        <v>114.25</v>
      </c>
      <c r="M46" s="150">
        <f t="shared" si="3"/>
        <v>744791.81568750017</v>
      </c>
      <c r="N46" s="35"/>
      <c r="O46" s="35"/>
      <c r="P46" s="35"/>
      <c r="Q46" s="35"/>
      <c r="R46" s="35"/>
      <c r="S46" s="35"/>
      <c r="T46" s="35"/>
    </row>
    <row r="47" spans="1:20">
      <c r="A47" s="8" t="s">
        <v>41</v>
      </c>
      <c r="B47" s="17" t="s">
        <v>17</v>
      </c>
      <c r="C47" s="14">
        <v>86.05</v>
      </c>
      <c r="D47" s="14"/>
      <c r="E47" s="15">
        <v>11.52</v>
      </c>
      <c r="F47" s="14">
        <f t="shared" si="4"/>
        <v>97.57</v>
      </c>
      <c r="G47" s="90">
        <f>(5430*1.125*1.09)*F47*1.05</f>
        <v>682157.17906875</v>
      </c>
      <c r="H47" s="30">
        <v>64</v>
      </c>
      <c r="I47" s="30"/>
      <c r="J47" s="14">
        <v>29.45</v>
      </c>
      <c r="K47" s="91">
        <f t="shared" si="7"/>
        <v>101116.57500000003</v>
      </c>
      <c r="L47" s="34">
        <f t="shared" si="3"/>
        <v>127.02</v>
      </c>
      <c r="M47" s="43">
        <f t="shared" si="3"/>
        <v>783273.75406875007</v>
      </c>
      <c r="N47" s="37"/>
      <c r="O47" s="36"/>
      <c r="P47" s="38"/>
      <c r="Q47" s="36"/>
      <c r="R47" s="39"/>
      <c r="S47" s="35"/>
      <c r="T47" s="35"/>
    </row>
    <row r="48" spans="1:20">
      <c r="A48" s="151" t="s">
        <v>42</v>
      </c>
      <c r="B48" s="152" t="s">
        <v>17</v>
      </c>
      <c r="C48" s="153">
        <v>84.56</v>
      </c>
      <c r="D48" s="153"/>
      <c r="E48" s="154">
        <v>11.33</v>
      </c>
      <c r="F48" s="155">
        <f t="shared" si="4"/>
        <v>95.89</v>
      </c>
      <c r="G48" s="160">
        <f>(5400*1.125*1.09)*F48*1.05</f>
        <v>666707.58787500008</v>
      </c>
      <c r="H48" s="158">
        <v>63</v>
      </c>
      <c r="I48" s="158"/>
      <c r="J48" s="161">
        <v>19.46</v>
      </c>
      <c r="K48" s="160">
        <f t="shared" si="7"/>
        <v>66815.910000000018</v>
      </c>
      <c r="L48" s="161">
        <f t="shared" si="3"/>
        <v>115.35</v>
      </c>
      <c r="M48" s="189" t="s">
        <v>118</v>
      </c>
      <c r="N48" s="35"/>
      <c r="O48" s="35"/>
      <c r="P48" s="35"/>
      <c r="Q48" s="35"/>
      <c r="R48" s="35"/>
      <c r="S48" s="35"/>
      <c r="T48" s="35"/>
    </row>
    <row r="49" spans="1:28">
      <c r="A49" s="8" t="s">
        <v>43</v>
      </c>
      <c r="B49" s="12" t="s">
        <v>18</v>
      </c>
      <c r="C49" s="14">
        <v>104.16</v>
      </c>
      <c r="D49" s="14"/>
      <c r="E49" s="15">
        <v>13.95</v>
      </c>
      <c r="F49" s="14">
        <f t="shared" si="4"/>
        <v>118.11</v>
      </c>
      <c r="G49" s="91">
        <f>(5500*1.125*1.09*1.07)*F49*1.05</f>
        <v>894955.53045937524</v>
      </c>
      <c r="H49" s="69" t="s">
        <v>66</v>
      </c>
      <c r="I49" s="69" t="s">
        <v>100</v>
      </c>
      <c r="J49" s="12">
        <v>56.26</v>
      </c>
      <c r="K49" s="91">
        <f t="shared" si="7"/>
        <v>193168.71000000002</v>
      </c>
      <c r="L49" s="34">
        <f t="shared" si="3"/>
        <v>174.37</v>
      </c>
      <c r="M49" s="43">
        <f t="shared" si="3"/>
        <v>1088124.2404593753</v>
      </c>
      <c r="N49" s="35"/>
      <c r="O49" s="35"/>
      <c r="P49" s="35"/>
      <c r="Q49" s="35"/>
      <c r="R49" s="35"/>
      <c r="S49" s="35"/>
      <c r="T49" s="35"/>
    </row>
    <row r="50" spans="1:28" ht="15.75" customHeight="1">
      <c r="A50" s="122" t="s">
        <v>44</v>
      </c>
      <c r="B50" s="114" t="s">
        <v>17</v>
      </c>
      <c r="C50" s="126">
        <v>84.98</v>
      </c>
      <c r="D50" s="126"/>
      <c r="E50" s="128">
        <v>11.39</v>
      </c>
      <c r="F50" s="115">
        <f t="shared" si="4"/>
        <v>96.37</v>
      </c>
      <c r="G50" s="119">
        <f>(5500*1.125*1.09*1.05)*F50*1.05</f>
        <v>716575.84917187516</v>
      </c>
      <c r="H50" s="129">
        <v>62</v>
      </c>
      <c r="I50" s="129"/>
      <c r="J50" s="130">
        <v>19.95</v>
      </c>
      <c r="K50" s="119">
        <f t="shared" si="7"/>
        <v>68498.325000000012</v>
      </c>
      <c r="L50" s="120">
        <f t="shared" si="3"/>
        <v>116.32000000000001</v>
      </c>
      <c r="M50" s="131">
        <f t="shared" si="3"/>
        <v>785074.17417187523</v>
      </c>
      <c r="N50" s="35"/>
      <c r="O50" s="35"/>
      <c r="P50" s="35"/>
      <c r="Q50" s="35"/>
      <c r="R50" s="35"/>
      <c r="S50" s="35"/>
      <c r="T50" s="35"/>
    </row>
    <row r="51" spans="1:28">
      <c r="A51" s="113" t="s">
        <v>116</v>
      </c>
      <c r="B51" s="114" t="s">
        <v>18</v>
      </c>
      <c r="C51" s="115">
        <v>104.68</v>
      </c>
      <c r="D51" s="115"/>
      <c r="E51" s="116">
        <v>14.03</v>
      </c>
      <c r="F51" s="115">
        <f t="shared" si="4"/>
        <v>118.71000000000001</v>
      </c>
      <c r="G51" s="119">
        <f>(5500*1.125*1.09*1.07)*F51*1.05</f>
        <v>899501.9136468753</v>
      </c>
      <c r="H51" s="129" t="s">
        <v>67</v>
      </c>
      <c r="I51" s="129" t="s">
        <v>100</v>
      </c>
      <c r="J51" s="114">
        <v>65.569999999999993</v>
      </c>
      <c r="K51" s="119">
        <f t="shared" si="7"/>
        <v>225134.595</v>
      </c>
      <c r="L51" s="120">
        <f t="shared" si="3"/>
        <v>184.28</v>
      </c>
      <c r="M51" s="121">
        <f t="shared" si="3"/>
        <v>1124636.5086468754</v>
      </c>
      <c r="N51" s="68"/>
      <c r="O51" s="36"/>
      <c r="P51" s="38"/>
      <c r="Q51" s="36"/>
      <c r="R51" s="39"/>
      <c r="S51" s="35"/>
      <c r="T51" s="35"/>
    </row>
    <row r="52" spans="1:28">
      <c r="A52" s="215" t="s">
        <v>45</v>
      </c>
      <c r="B52" s="216" t="s">
        <v>17</v>
      </c>
      <c r="C52" s="217">
        <v>83.16</v>
      </c>
      <c r="D52" s="217"/>
      <c r="E52" s="218">
        <v>11.14</v>
      </c>
      <c r="F52" s="217">
        <f t="shared" si="4"/>
        <v>94.3</v>
      </c>
      <c r="G52" s="219">
        <f>(5570*1.125*1.09)*F52*1.05</f>
        <v>676293.4906875001</v>
      </c>
      <c r="H52" s="220">
        <v>4142</v>
      </c>
      <c r="I52" s="221"/>
      <c r="J52" s="222">
        <v>42</v>
      </c>
      <c r="K52" s="223">
        <f t="shared" si="7"/>
        <v>144207.00000000003</v>
      </c>
      <c r="L52" s="224">
        <f t="shared" si="3"/>
        <v>136.30000000000001</v>
      </c>
      <c r="M52" s="225" t="s">
        <v>118</v>
      </c>
      <c r="N52" s="35"/>
      <c r="O52" s="35"/>
      <c r="P52" s="35"/>
      <c r="Q52" s="35"/>
      <c r="R52" s="35"/>
      <c r="S52" s="35"/>
      <c r="T52" s="35"/>
    </row>
    <row r="53" spans="1:28">
      <c r="A53" s="8" t="s">
        <v>46</v>
      </c>
      <c r="B53" s="17" t="s">
        <v>17</v>
      </c>
      <c r="C53" s="14">
        <v>86.05</v>
      </c>
      <c r="D53" s="14"/>
      <c r="E53" s="15">
        <v>11.52</v>
      </c>
      <c r="F53" s="14">
        <f t="shared" si="4"/>
        <v>97.57</v>
      </c>
      <c r="G53" s="91">
        <f>(5600*1.125*1.09)*F53*1.05</f>
        <v>703513.84950000013</v>
      </c>
      <c r="H53" s="31">
        <v>59</v>
      </c>
      <c r="I53" s="31"/>
      <c r="J53" s="14">
        <v>19</v>
      </c>
      <c r="K53" s="91">
        <f>(2600*1.09)*J53*1.05</f>
        <v>56538.3</v>
      </c>
      <c r="L53" s="34">
        <f t="shared" si="3"/>
        <v>116.57</v>
      </c>
      <c r="M53" s="43">
        <f t="shared" si="3"/>
        <v>760052.14950000017</v>
      </c>
      <c r="N53" s="35"/>
      <c r="O53" s="35"/>
      <c r="P53" s="35"/>
      <c r="Q53" s="35"/>
      <c r="R53" s="35"/>
      <c r="S53" s="35"/>
      <c r="T53" s="35"/>
    </row>
    <row r="54" spans="1:28">
      <c r="A54" s="8" t="s">
        <v>47</v>
      </c>
      <c r="B54" s="12" t="s">
        <v>17</v>
      </c>
      <c r="C54" s="10">
        <v>84.56</v>
      </c>
      <c r="D54" s="10"/>
      <c r="E54" s="11">
        <v>11.33</v>
      </c>
      <c r="F54" s="14">
        <f t="shared" si="4"/>
        <v>95.89</v>
      </c>
      <c r="G54" s="90">
        <f>(5550*1.125*1.09)*F54*1.05</f>
        <v>685227.24309375021</v>
      </c>
      <c r="H54" s="30">
        <v>58</v>
      </c>
      <c r="I54" s="31"/>
      <c r="J54" s="18">
        <v>19</v>
      </c>
      <c r="K54" s="91">
        <f t="shared" ref="K54:K61" si="8">(3000*1.09)*J54*1.05</f>
        <v>65236.500000000007</v>
      </c>
      <c r="L54" s="34">
        <f t="shared" si="3"/>
        <v>114.89</v>
      </c>
      <c r="M54" s="44">
        <f t="shared" si="3"/>
        <v>750463.74309375021</v>
      </c>
      <c r="N54" s="35"/>
      <c r="O54" s="35"/>
      <c r="P54" s="35"/>
      <c r="Q54" s="35"/>
      <c r="R54" s="35"/>
      <c r="S54" s="35"/>
      <c r="T54" s="35"/>
    </row>
    <row r="55" spans="1:28">
      <c r="A55" s="8" t="s">
        <v>48</v>
      </c>
      <c r="B55" s="12" t="s">
        <v>18</v>
      </c>
      <c r="C55" s="14">
        <v>104.16</v>
      </c>
      <c r="D55" s="14"/>
      <c r="E55" s="15">
        <v>13.95</v>
      </c>
      <c r="F55" s="14">
        <f t="shared" si="4"/>
        <v>118.11</v>
      </c>
      <c r="G55" s="91">
        <f>(5700*1.125*1.09*1.07)*F55*1.05</f>
        <v>927499.3679306251</v>
      </c>
      <c r="H55" s="69" t="s">
        <v>68</v>
      </c>
      <c r="I55" s="69" t="s">
        <v>100</v>
      </c>
      <c r="J55" s="14">
        <v>55.47</v>
      </c>
      <c r="K55" s="91">
        <f t="shared" si="8"/>
        <v>190456.24500000002</v>
      </c>
      <c r="L55" s="34">
        <f t="shared" si="3"/>
        <v>173.57999999999998</v>
      </c>
      <c r="M55" s="43">
        <f t="shared" si="3"/>
        <v>1117955.6129306252</v>
      </c>
      <c r="N55" s="35"/>
      <c r="O55" s="35"/>
      <c r="P55" s="35"/>
      <c r="Q55" s="35"/>
      <c r="R55" s="35"/>
      <c r="S55" s="35"/>
      <c r="T55" s="35"/>
    </row>
    <row r="56" spans="1:28">
      <c r="A56" s="122" t="s">
        <v>115</v>
      </c>
      <c r="B56" s="114" t="s">
        <v>17</v>
      </c>
      <c r="C56" s="126">
        <v>84.98</v>
      </c>
      <c r="D56" s="126"/>
      <c r="E56" s="128">
        <v>11.39</v>
      </c>
      <c r="F56" s="115">
        <f t="shared" si="4"/>
        <v>96.37</v>
      </c>
      <c r="G56" s="119">
        <f>(5660*1.125*1.09*1.05)*F56*1.05</f>
        <v>737421.69205687521</v>
      </c>
      <c r="H56" s="129">
        <v>60</v>
      </c>
      <c r="I56" s="129"/>
      <c r="J56" s="115">
        <v>19</v>
      </c>
      <c r="K56" s="119">
        <f t="shared" si="8"/>
        <v>65236.500000000007</v>
      </c>
      <c r="L56" s="120">
        <f t="shared" si="3"/>
        <v>115.37</v>
      </c>
      <c r="M56" s="131">
        <f t="shared" si="3"/>
        <v>802658.19205687521</v>
      </c>
    </row>
    <row r="57" spans="1:28">
      <c r="A57" s="113" t="s">
        <v>49</v>
      </c>
      <c r="B57" s="114" t="s">
        <v>18</v>
      </c>
      <c r="C57" s="115">
        <v>104.68</v>
      </c>
      <c r="D57" s="115"/>
      <c r="E57" s="116">
        <v>14.03</v>
      </c>
      <c r="F57" s="115">
        <f t="shared" si="4"/>
        <v>118.71000000000001</v>
      </c>
      <c r="G57" s="119">
        <f>(5750*1.125*1.09*1.07)*F57*1.05</f>
        <v>940388.36426718778</v>
      </c>
      <c r="H57" s="129" t="s">
        <v>69</v>
      </c>
      <c r="I57" s="129" t="s">
        <v>100</v>
      </c>
      <c r="J57" s="115">
        <v>59.75</v>
      </c>
      <c r="K57" s="119">
        <f t="shared" si="8"/>
        <v>205151.62500000003</v>
      </c>
      <c r="L57" s="120">
        <f t="shared" si="3"/>
        <v>178.46</v>
      </c>
      <c r="M57" s="121">
        <f t="shared" si="3"/>
        <v>1145539.9892671879</v>
      </c>
    </row>
    <row r="58" spans="1:28" ht="16.5" customHeight="1">
      <c r="A58" s="151" t="s">
        <v>50</v>
      </c>
      <c r="B58" s="152" t="s">
        <v>17</v>
      </c>
      <c r="C58" s="155">
        <v>83.16</v>
      </c>
      <c r="D58" s="155"/>
      <c r="E58" s="154">
        <v>11.14</v>
      </c>
      <c r="F58" s="155">
        <f t="shared" si="4"/>
        <v>94.3</v>
      </c>
      <c r="G58" s="156">
        <f>(5600*1.125*1.09)*F58*1.05</f>
        <v>679936.00500000012</v>
      </c>
      <c r="H58" s="187">
        <v>57</v>
      </c>
      <c r="I58" s="188"/>
      <c r="J58" s="161">
        <v>19</v>
      </c>
      <c r="K58" s="160">
        <f t="shared" si="8"/>
        <v>65236.500000000007</v>
      </c>
      <c r="L58" s="161">
        <f t="shared" si="3"/>
        <v>113.3</v>
      </c>
      <c r="M58" s="189" t="s">
        <v>118</v>
      </c>
    </row>
    <row r="59" spans="1:28">
      <c r="A59" s="13" t="s">
        <v>25</v>
      </c>
      <c r="B59" s="12" t="s">
        <v>18</v>
      </c>
      <c r="C59" s="10">
        <v>135.38999999999999</v>
      </c>
      <c r="D59" s="10"/>
      <c r="E59" s="15">
        <v>18.13</v>
      </c>
      <c r="F59" s="14">
        <f t="shared" si="4"/>
        <v>153.51999999999998</v>
      </c>
      <c r="G59" s="90">
        <f>(5750*1.125*1.09*1.03)*F59*1.05</f>
        <v>1170680.4088874999</v>
      </c>
      <c r="H59" s="70" t="s">
        <v>84</v>
      </c>
      <c r="I59" s="70" t="s">
        <v>100</v>
      </c>
      <c r="J59" s="14">
        <v>59.2</v>
      </c>
      <c r="K59" s="91">
        <f t="shared" si="8"/>
        <v>203263.20000000004</v>
      </c>
      <c r="L59" s="34">
        <f t="shared" si="3"/>
        <v>212.71999999999997</v>
      </c>
      <c r="M59" s="43">
        <f t="shared" si="3"/>
        <v>1373943.6088874999</v>
      </c>
      <c r="AB59" t="s">
        <v>111</v>
      </c>
    </row>
    <row r="60" spans="1:28">
      <c r="A60" s="13" t="s">
        <v>26</v>
      </c>
      <c r="B60" s="12" t="s">
        <v>17</v>
      </c>
      <c r="C60" s="14">
        <v>84.98</v>
      </c>
      <c r="D60" s="14"/>
      <c r="E60" s="19">
        <v>11.39</v>
      </c>
      <c r="F60" s="14">
        <f t="shared" si="4"/>
        <v>96.37</v>
      </c>
      <c r="G60" s="90">
        <f>(5600*1.125*1.09*1.03)*F60*1.05</f>
        <v>715707.27238500013</v>
      </c>
      <c r="H60" s="70" t="s">
        <v>70</v>
      </c>
      <c r="I60" s="70" t="s">
        <v>100</v>
      </c>
      <c r="J60" s="12">
        <v>56.76</v>
      </c>
      <c r="K60" s="91">
        <f t="shared" si="8"/>
        <v>194885.46000000002</v>
      </c>
      <c r="L60" s="34">
        <f t="shared" si="3"/>
        <v>153.13</v>
      </c>
      <c r="M60" s="45">
        <f t="shared" si="3"/>
        <v>910592.73238500021</v>
      </c>
      <c r="AA60" t="s">
        <v>112</v>
      </c>
    </row>
    <row r="61" spans="1:28">
      <c r="A61" s="122" t="s">
        <v>27</v>
      </c>
      <c r="B61" s="123" t="s">
        <v>18</v>
      </c>
      <c r="C61" s="115">
        <v>135.32</v>
      </c>
      <c r="D61" s="124"/>
      <c r="E61" s="124">
        <v>18.12</v>
      </c>
      <c r="F61" s="115">
        <f t="shared" si="4"/>
        <v>153.44</v>
      </c>
      <c r="G61" s="132">
        <f>(5750*1.125*1.09*1.03)*F61*1.05</f>
        <v>1170070.3617750003</v>
      </c>
      <c r="H61" s="133" t="s">
        <v>71</v>
      </c>
      <c r="I61" s="133" t="s">
        <v>100</v>
      </c>
      <c r="J61" s="114">
        <v>60.02</v>
      </c>
      <c r="K61" s="119">
        <f t="shared" si="8"/>
        <v>206078.67000000004</v>
      </c>
      <c r="L61" s="120">
        <f t="shared" si="3"/>
        <v>213.46</v>
      </c>
      <c r="M61" s="121">
        <f t="shared" si="3"/>
        <v>1376149.0317750005</v>
      </c>
    </row>
    <row r="62" spans="1:28">
      <c r="A62" s="33" t="s">
        <v>28</v>
      </c>
      <c r="B62" s="27"/>
      <c r="C62" s="29">
        <f>SUM(C39:C61)</f>
        <v>1998.4600000000003</v>
      </c>
      <c r="D62" s="28"/>
      <c r="E62" s="29">
        <f>SUM(E39:E61)</f>
        <v>269.95999999999998</v>
      </c>
      <c r="F62" s="78">
        <f>SUM(F39:F61)</f>
        <v>2392.4899999999993</v>
      </c>
      <c r="G62" s="78"/>
      <c r="H62" s="28"/>
      <c r="I62" s="28"/>
      <c r="J62" s="29">
        <f>SUM(J39:J61)</f>
        <v>789.5</v>
      </c>
      <c r="K62" s="29"/>
      <c r="L62" s="29">
        <f>SUM(L39:L61)</f>
        <v>3181.9900000000002</v>
      </c>
      <c r="M62" s="66">
        <f>SUM(M39:M61)</f>
        <v>17600234.17678583</v>
      </c>
    </row>
    <row r="64" spans="1:28">
      <c r="F64" s="112" t="s">
        <v>107</v>
      </c>
      <c r="G64" s="75"/>
      <c r="H64" s="75"/>
      <c r="I64" s="75"/>
      <c r="J64" s="75"/>
      <c r="L64" t="s">
        <v>117</v>
      </c>
      <c r="M64" s="127" t="s">
        <v>109</v>
      </c>
    </row>
    <row r="65" spans="1:23">
      <c r="B65" s="229" t="s">
        <v>108</v>
      </c>
      <c r="C65" s="229"/>
      <c r="F65" s="112" t="s">
        <v>106</v>
      </c>
      <c r="G65" s="75"/>
      <c r="H65" s="75"/>
      <c r="I65" s="75"/>
      <c r="J65" s="75"/>
      <c r="M65" s="135" t="s">
        <v>119</v>
      </c>
    </row>
    <row r="66" spans="1:23">
      <c r="B66" s="47" t="s">
        <v>77</v>
      </c>
      <c r="C66" s="24"/>
      <c r="D66" s="5"/>
      <c r="F66" s="110" t="s">
        <v>105</v>
      </c>
      <c r="G66" s="110"/>
      <c r="H66" s="110"/>
      <c r="I66" s="110"/>
      <c r="J66" s="111"/>
      <c r="K66" s="111"/>
      <c r="L66" s="7"/>
      <c r="M66" s="5"/>
    </row>
    <row r="67" spans="1:23" ht="15.75" thickBot="1">
      <c r="A67" s="25" t="s">
        <v>8</v>
      </c>
      <c r="B67" s="26" t="s">
        <v>90</v>
      </c>
      <c r="C67" s="26"/>
      <c r="D67" s="26" t="s">
        <v>72</v>
      </c>
      <c r="F67" s="4" t="s">
        <v>76</v>
      </c>
      <c r="G67" s="4"/>
      <c r="H67" s="4" t="s">
        <v>76</v>
      </c>
      <c r="I67" s="4"/>
      <c r="N67" s="35"/>
      <c r="O67" s="35"/>
      <c r="P67" s="35"/>
      <c r="Q67" s="35"/>
      <c r="R67" s="35"/>
      <c r="S67" s="35"/>
      <c r="T67" s="35"/>
      <c r="U67" s="35"/>
      <c r="V67" s="35"/>
      <c r="W67" s="35"/>
    </row>
    <row r="68" spans="1:23" ht="15.75">
      <c r="A68" s="8" t="s">
        <v>86</v>
      </c>
      <c r="B68" s="52">
        <v>62.67</v>
      </c>
      <c r="C68" s="55" t="s">
        <v>91</v>
      </c>
      <c r="D68" s="43">
        <f>B68*3000*1.09*0.8*1.05</f>
        <v>172141.95600000003</v>
      </c>
      <c r="F68" s="184" t="s">
        <v>97</v>
      </c>
      <c r="G68" s="185"/>
      <c r="H68" s="185"/>
      <c r="I68" s="185"/>
      <c r="J68" s="72"/>
      <c r="K68" s="72"/>
      <c r="L68" s="72"/>
      <c r="M68" s="73"/>
      <c r="N68" s="35"/>
      <c r="O68" s="35"/>
      <c r="P68" s="35"/>
      <c r="Q68" s="35"/>
      <c r="R68" s="72"/>
      <c r="S68" s="72"/>
      <c r="T68" s="72"/>
      <c r="U68" s="72"/>
      <c r="V68" s="166"/>
      <c r="W68" s="35"/>
    </row>
    <row r="69" spans="1:23">
      <c r="A69" s="13" t="s">
        <v>87</v>
      </c>
      <c r="B69" s="53">
        <v>40.96</v>
      </c>
      <c r="C69" s="55" t="s">
        <v>91</v>
      </c>
      <c r="D69" s="43">
        <f>B69*3000*1.09*0.8*1.05</f>
        <v>112508.92800000001</v>
      </c>
      <c r="F69" s="175"/>
      <c r="G69" s="35"/>
      <c r="H69" s="35"/>
      <c r="I69" s="35"/>
      <c r="J69" s="35"/>
      <c r="K69" s="35"/>
      <c r="L69" s="35"/>
      <c r="M69" s="176"/>
      <c r="N69" s="35"/>
      <c r="O69" s="174"/>
      <c r="P69" s="35"/>
      <c r="Q69" s="35"/>
      <c r="R69" s="35"/>
      <c r="S69" s="35" t="s">
        <v>85</v>
      </c>
      <c r="T69" s="35"/>
      <c r="U69" s="35"/>
      <c r="V69" s="167"/>
      <c r="W69" s="35"/>
    </row>
    <row r="70" spans="1:23">
      <c r="A70" s="8" t="s">
        <v>88</v>
      </c>
      <c r="B70" s="52">
        <v>41.96</v>
      </c>
      <c r="C70" s="55" t="s">
        <v>91</v>
      </c>
      <c r="D70" s="43">
        <f>B70*3000*1.09*0.8*1.05</f>
        <v>115255.72800000002</v>
      </c>
      <c r="F70" s="175" t="s">
        <v>113</v>
      </c>
      <c r="G70" s="35"/>
      <c r="H70" s="35"/>
      <c r="I70" s="35"/>
      <c r="J70" s="35" t="s">
        <v>85</v>
      </c>
      <c r="K70" s="35"/>
      <c r="L70" s="35"/>
      <c r="M70" s="176" t="s">
        <v>114</v>
      </c>
      <c r="N70" s="35"/>
      <c r="O70" s="35"/>
      <c r="P70" s="35"/>
      <c r="Q70" s="35"/>
      <c r="R70" s="35"/>
      <c r="S70" s="35"/>
      <c r="T70" s="35"/>
      <c r="U70" s="35"/>
      <c r="V70" s="167"/>
      <c r="W70" s="35"/>
    </row>
    <row r="71" spans="1:23">
      <c r="A71" s="8" t="s">
        <v>89</v>
      </c>
      <c r="B71" s="53">
        <v>40.96</v>
      </c>
      <c r="C71" s="55" t="s">
        <v>91</v>
      </c>
      <c r="D71" s="43">
        <f>B71*3000*1.09*0.8*1.05</f>
        <v>112508.92800000001</v>
      </c>
      <c r="F71" s="177" t="s">
        <v>120</v>
      </c>
      <c r="G71" s="178"/>
      <c r="H71" s="178"/>
      <c r="I71" s="178"/>
      <c r="J71" s="178"/>
      <c r="K71" s="178"/>
      <c r="L71" s="178"/>
      <c r="M71" s="179" t="s">
        <v>121</v>
      </c>
      <c r="N71" s="35"/>
      <c r="O71" s="35"/>
      <c r="P71" s="35"/>
      <c r="Q71" s="35"/>
      <c r="R71" s="35"/>
      <c r="S71" s="35"/>
      <c r="T71" s="35"/>
      <c r="U71" s="35"/>
      <c r="V71" s="167"/>
      <c r="W71" s="35"/>
    </row>
    <row r="72" spans="1:23">
      <c r="A72" s="215" t="s">
        <v>78</v>
      </c>
      <c r="B72" s="230">
        <v>19.98</v>
      </c>
      <c r="C72" s="231" t="s">
        <v>91</v>
      </c>
      <c r="D72" s="225" t="s">
        <v>118</v>
      </c>
      <c r="F72" s="177" t="s">
        <v>122</v>
      </c>
      <c r="G72" s="178"/>
      <c r="H72" s="178"/>
      <c r="I72" s="178"/>
      <c r="J72" s="178"/>
      <c r="K72" s="178"/>
      <c r="L72" s="178"/>
      <c r="M72" s="179" t="s">
        <v>123</v>
      </c>
      <c r="N72" s="176"/>
      <c r="O72" s="35"/>
      <c r="P72" s="35"/>
      <c r="Q72" s="35"/>
      <c r="R72" s="35"/>
      <c r="S72" s="35"/>
      <c r="T72" s="35"/>
      <c r="U72" s="35"/>
      <c r="V72" s="167"/>
      <c r="W72" s="35"/>
    </row>
    <row r="73" spans="1:23">
      <c r="A73" s="232" t="s">
        <v>79</v>
      </c>
      <c r="B73" s="233">
        <v>21</v>
      </c>
      <c r="C73" s="231" t="s">
        <v>91</v>
      </c>
      <c r="D73" s="225" t="s">
        <v>118</v>
      </c>
      <c r="F73" s="177" t="s">
        <v>124</v>
      </c>
      <c r="G73" s="178"/>
      <c r="H73" s="178"/>
      <c r="I73" s="178"/>
      <c r="J73" s="178"/>
      <c r="K73" s="178"/>
      <c r="L73" s="178"/>
      <c r="M73" s="179" t="s">
        <v>125</v>
      </c>
      <c r="N73" s="179"/>
      <c r="O73" s="35"/>
      <c r="P73" s="35"/>
      <c r="Q73" s="35"/>
      <c r="R73" s="35"/>
      <c r="S73" s="35"/>
      <c r="T73" s="35"/>
      <c r="U73" s="35"/>
      <c r="V73" s="167"/>
      <c r="W73" s="35"/>
    </row>
    <row r="74" spans="1:23">
      <c r="A74" s="8" t="s">
        <v>80</v>
      </c>
      <c r="B74" s="56">
        <v>21</v>
      </c>
      <c r="C74" s="55" t="s">
        <v>91</v>
      </c>
      <c r="D74" s="43">
        <f t="shared" ref="D72:D79" si="9">B74*3000*1.09*1.05</f>
        <v>72103.5</v>
      </c>
      <c r="F74" s="177"/>
      <c r="G74" s="178"/>
      <c r="H74" s="178"/>
      <c r="I74" s="178"/>
      <c r="J74" s="178"/>
      <c r="K74" s="178"/>
      <c r="L74" s="178"/>
      <c r="M74" s="179"/>
      <c r="N74" s="179"/>
      <c r="O74" s="35"/>
      <c r="P74" s="35"/>
      <c r="Q74" s="35"/>
      <c r="R74" s="35"/>
      <c r="S74" s="35"/>
      <c r="T74" s="35"/>
      <c r="U74" s="35"/>
      <c r="V74" s="167"/>
      <c r="W74" s="35"/>
    </row>
    <row r="75" spans="1:23">
      <c r="A75" s="8" t="s">
        <v>81</v>
      </c>
      <c r="B75" s="52">
        <v>20.46</v>
      </c>
      <c r="C75" s="55" t="s">
        <v>91</v>
      </c>
      <c r="D75" s="43">
        <f t="shared" si="9"/>
        <v>70249.410000000018</v>
      </c>
      <c r="F75" s="177" t="s">
        <v>126</v>
      </c>
      <c r="G75" s="178"/>
      <c r="H75" s="178"/>
      <c r="I75" s="178"/>
      <c r="J75" s="178"/>
      <c r="K75" s="178"/>
      <c r="L75" s="178"/>
      <c r="M75" s="179"/>
      <c r="N75" s="179"/>
      <c r="O75" s="35"/>
      <c r="P75" s="35"/>
      <c r="Q75" s="35"/>
      <c r="R75" s="35"/>
      <c r="S75" s="35"/>
      <c r="T75" s="35"/>
      <c r="U75" s="35"/>
      <c r="V75" s="167"/>
      <c r="W75" s="35"/>
    </row>
    <row r="76" spans="1:23" ht="15.75" thickBot="1">
      <c r="A76" s="8" t="s">
        <v>82</v>
      </c>
      <c r="B76" s="54">
        <v>31.21</v>
      </c>
      <c r="C76" s="55" t="s">
        <v>91</v>
      </c>
      <c r="D76" s="43">
        <f t="shared" si="9"/>
        <v>107159.53500000002</v>
      </c>
      <c r="F76" s="177"/>
      <c r="G76" s="178"/>
      <c r="H76" s="178"/>
      <c r="I76" s="178"/>
      <c r="J76" s="178"/>
      <c r="K76" s="178"/>
      <c r="L76" s="178"/>
      <c r="M76" s="179"/>
      <c r="N76" s="179"/>
      <c r="O76" s="35"/>
      <c r="P76" s="35"/>
      <c r="Q76" s="35"/>
      <c r="R76" s="35"/>
      <c r="S76" s="35"/>
      <c r="T76" s="35"/>
      <c r="U76" s="35"/>
      <c r="V76" s="167"/>
      <c r="W76" s="35"/>
    </row>
    <row r="77" spans="1:23" ht="15.75" thickBot="1">
      <c r="A77" s="71" t="s">
        <v>101</v>
      </c>
      <c r="B77" s="56">
        <v>31.45</v>
      </c>
      <c r="C77" s="55" t="s">
        <v>91</v>
      </c>
      <c r="D77" s="43">
        <f t="shared" si="9"/>
        <v>107983.57500000003</v>
      </c>
      <c r="E77" t="s">
        <v>96</v>
      </c>
      <c r="F77" s="180"/>
      <c r="G77" s="177"/>
      <c r="H77" s="178"/>
      <c r="I77" s="178"/>
      <c r="J77" s="178"/>
      <c r="K77" s="178"/>
      <c r="L77" s="178"/>
      <c r="M77" s="178"/>
      <c r="N77" s="179"/>
      <c r="O77" s="35"/>
      <c r="P77" s="35"/>
      <c r="Q77" s="35"/>
      <c r="R77" s="35"/>
      <c r="S77" s="35"/>
      <c r="T77" s="35"/>
      <c r="U77" s="35"/>
      <c r="V77" s="167"/>
      <c r="W77" s="35"/>
    </row>
    <row r="78" spans="1:23">
      <c r="A78" s="71" t="s">
        <v>102</v>
      </c>
      <c r="B78" s="56">
        <v>30.84</v>
      </c>
      <c r="C78" s="55" t="s">
        <v>91</v>
      </c>
      <c r="D78" s="43">
        <f t="shared" si="9"/>
        <v>105889.14000000001</v>
      </c>
      <c r="E78" t="s">
        <v>96</v>
      </c>
      <c r="F78" s="209" t="s">
        <v>128</v>
      </c>
      <c r="G78" s="210"/>
      <c r="H78" s="210"/>
      <c r="I78" s="210"/>
      <c r="J78" s="210"/>
      <c r="K78" s="210"/>
      <c r="L78" s="210"/>
      <c r="M78" s="211"/>
      <c r="N78" s="35"/>
      <c r="O78" s="35"/>
      <c r="P78" s="35"/>
      <c r="Q78" s="35"/>
      <c r="R78" s="35"/>
      <c r="S78" s="35"/>
      <c r="T78" s="35"/>
      <c r="U78" s="35"/>
      <c r="V78" s="167"/>
      <c r="W78" s="35"/>
    </row>
    <row r="79" spans="1:23" ht="15.75" thickBot="1">
      <c r="A79" s="163" t="s">
        <v>83</v>
      </c>
      <c r="B79" s="206">
        <v>19.809999999999999</v>
      </c>
      <c r="C79" s="207" t="s">
        <v>91</v>
      </c>
      <c r="D79" s="162">
        <f t="shared" si="9"/>
        <v>68017.634999999995</v>
      </c>
      <c r="F79" s="212" t="s">
        <v>98</v>
      </c>
      <c r="G79" s="213"/>
      <c r="H79" s="213"/>
      <c r="I79" s="213"/>
      <c r="J79" s="213"/>
      <c r="K79" s="213"/>
      <c r="L79" s="213"/>
      <c r="M79" s="214"/>
      <c r="N79" s="35"/>
      <c r="O79" s="35"/>
      <c r="P79" s="35"/>
      <c r="Q79" s="35"/>
      <c r="R79" s="74"/>
      <c r="S79" s="74"/>
      <c r="T79" s="74"/>
      <c r="U79" s="74"/>
      <c r="V79" s="168"/>
      <c r="W79" s="35"/>
    </row>
    <row r="80" spans="1:23" ht="15.75" thickBot="1">
      <c r="A80" s="83" t="s">
        <v>127</v>
      </c>
      <c r="B80" s="226">
        <v>19.95</v>
      </c>
      <c r="C80" s="227" t="s">
        <v>91</v>
      </c>
      <c r="D80" s="228">
        <v>68498.33</v>
      </c>
      <c r="F80" s="181" t="s">
        <v>110</v>
      </c>
      <c r="G80" s="182"/>
      <c r="H80" s="182"/>
      <c r="I80" s="182"/>
      <c r="J80" s="182"/>
      <c r="K80" s="182"/>
      <c r="L80" s="182"/>
      <c r="M80" s="183"/>
      <c r="N80" s="76"/>
    </row>
    <row r="81" spans="1:4">
      <c r="A81" s="82" t="s">
        <v>76</v>
      </c>
      <c r="B81" s="79"/>
      <c r="C81" s="80"/>
      <c r="D81" s="81" t="s">
        <v>76</v>
      </c>
    </row>
    <row r="86" spans="1:4">
      <c r="A86" s="50"/>
      <c r="B86" s="35"/>
      <c r="D86" s="35"/>
    </row>
    <row r="87" spans="1:4">
      <c r="A87" s="49"/>
      <c r="B87" s="36"/>
      <c r="C87" s="37"/>
      <c r="D87" s="48"/>
    </row>
    <row r="88" spans="1:4">
      <c r="A88" s="49"/>
      <c r="B88" s="36"/>
      <c r="C88" s="37"/>
      <c r="D88" s="48"/>
    </row>
    <row r="89" spans="1:4">
      <c r="A89" s="50"/>
      <c r="B89" s="35"/>
      <c r="C89" s="35"/>
      <c r="D89" s="35"/>
    </row>
    <row r="90" spans="1:4">
      <c r="A90" s="50"/>
      <c r="C90" s="35"/>
    </row>
    <row r="113" spans="1:12">
      <c r="L113" t="s">
        <v>74</v>
      </c>
    </row>
    <row r="117" spans="1:12">
      <c r="D117" t="s">
        <v>4</v>
      </c>
      <c r="J117" t="s">
        <v>3</v>
      </c>
    </row>
    <row r="119" spans="1:12">
      <c r="A119" s="50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</row>
    <row r="120" spans="1:12">
      <c r="A120" s="50"/>
      <c r="B120" s="35"/>
      <c r="C120" s="35"/>
      <c r="D120" s="50"/>
      <c r="E120" s="50"/>
      <c r="F120" s="50"/>
      <c r="G120" s="35"/>
      <c r="H120" s="35"/>
      <c r="I120" s="35"/>
      <c r="J120" s="35"/>
      <c r="K120" s="35"/>
      <c r="L120" s="35"/>
    </row>
    <row r="121" spans="1:12">
      <c r="A121" s="50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</row>
    <row r="122" spans="1:12">
      <c r="A122" s="50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</row>
  </sheetData>
  <mergeCells count="1">
    <mergeCell ref="B65:C65"/>
  </mergeCells>
  <pageMargins left="0.51181102362204722" right="0.11811023622047245" top="3.937007874015748E-2" bottom="3.937007874015748E-2" header="0" footer="0"/>
  <pageSetup scale="74" fitToHeight="0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Dafne</dc:creator>
  <cp:lastModifiedBy>Eliz</cp:lastModifiedBy>
  <cp:lastPrinted>2017-09-13T18:56:30Z</cp:lastPrinted>
  <dcterms:created xsi:type="dcterms:W3CDTF">2014-08-21T12:52:11Z</dcterms:created>
  <dcterms:modified xsi:type="dcterms:W3CDTF">2017-09-13T20:05:08Z</dcterms:modified>
</cp:coreProperties>
</file>