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355" windowHeight="814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Plan1!$A$1:$M$138</definedName>
  </definedNames>
  <calcPr calcId="145621"/>
</workbook>
</file>

<file path=xl/calcChain.xml><?xml version="1.0" encoding="utf-8"?>
<calcChain xmlns="http://schemas.openxmlformats.org/spreadsheetml/2006/main">
  <c r="F144" i="1" l="1"/>
  <c r="G144" i="1" s="1"/>
  <c r="M144" i="1" s="1"/>
  <c r="K144" i="1"/>
  <c r="F147" i="1"/>
  <c r="G147" i="1" s="1"/>
  <c r="M147" i="1" s="1"/>
  <c r="K147" i="1"/>
  <c r="F149" i="1"/>
  <c r="G149" i="1" s="1"/>
  <c r="M149" i="1" s="1"/>
  <c r="K149" i="1"/>
  <c r="D152" i="1"/>
  <c r="F155" i="1"/>
  <c r="G155" i="1" s="1"/>
  <c r="M155" i="1" s="1"/>
  <c r="K155" i="1"/>
  <c r="L149" i="1" l="1"/>
  <c r="L147" i="1"/>
  <c r="L155" i="1"/>
  <c r="L144" i="1"/>
  <c r="K53" i="1"/>
  <c r="K28" i="1"/>
  <c r="K27" i="1"/>
  <c r="K21" i="1"/>
  <c r="K61" i="1" l="1"/>
  <c r="K60" i="1"/>
  <c r="K59" i="1"/>
  <c r="K58" i="1"/>
  <c r="K57" i="1"/>
  <c r="F30" i="1"/>
  <c r="G30" i="1" s="1"/>
  <c r="K56" i="1"/>
  <c r="K55" i="1"/>
  <c r="K54" i="1"/>
  <c r="K52" i="1"/>
  <c r="K51" i="1"/>
  <c r="K50" i="1"/>
  <c r="K49" i="1"/>
  <c r="K48" i="1"/>
  <c r="K47" i="1"/>
  <c r="K46" i="1"/>
  <c r="K45" i="1"/>
  <c r="K42" i="1"/>
  <c r="K41" i="1"/>
  <c r="K40" i="1"/>
  <c r="K39" i="1"/>
  <c r="G46" i="1"/>
  <c r="K34" i="1"/>
  <c r="K33" i="1"/>
  <c r="K32" i="1"/>
  <c r="K31" i="1"/>
  <c r="K30" i="1"/>
  <c r="K29" i="1"/>
  <c r="K26" i="1"/>
  <c r="K25" i="1"/>
  <c r="K24" i="1"/>
  <c r="K23" i="1"/>
  <c r="K22" i="1"/>
  <c r="K20" i="1"/>
  <c r="K19" i="1"/>
  <c r="K18" i="1"/>
  <c r="K17" i="1"/>
  <c r="K16" i="1"/>
  <c r="K15" i="1"/>
  <c r="K14" i="1"/>
  <c r="D79" i="1"/>
  <c r="D78" i="1"/>
  <c r="D77" i="1"/>
  <c r="D76" i="1"/>
  <c r="D75" i="1"/>
  <c r="D71" i="1"/>
  <c r="D70" i="1"/>
  <c r="D69" i="1"/>
  <c r="D68" i="1"/>
  <c r="D80" i="1" l="1"/>
  <c r="M46" i="1" l="1"/>
  <c r="K44" i="1"/>
  <c r="K43" i="1"/>
  <c r="M30" i="1" l="1"/>
  <c r="L46" i="1" l="1"/>
  <c r="B80" i="1"/>
  <c r="J62" i="1"/>
  <c r="J35" i="1"/>
  <c r="F42" i="1"/>
  <c r="G42" i="1" s="1"/>
  <c r="F43" i="1"/>
  <c r="F44" i="1"/>
  <c r="F45" i="1"/>
  <c r="G45" i="1" s="1"/>
  <c r="M45" i="1" s="1"/>
  <c r="F47" i="1"/>
  <c r="G47" i="1" s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41" i="1"/>
  <c r="F40" i="1"/>
  <c r="F39" i="1"/>
  <c r="F18" i="1"/>
  <c r="F19" i="1"/>
  <c r="F20" i="1"/>
  <c r="F21" i="1"/>
  <c r="F22" i="1"/>
  <c r="F23" i="1"/>
  <c r="F24" i="1"/>
  <c r="F25" i="1"/>
  <c r="F26" i="1"/>
  <c r="F27" i="1"/>
  <c r="F28" i="1"/>
  <c r="F29" i="1"/>
  <c r="L30" i="1"/>
  <c r="F31" i="1"/>
  <c r="F32" i="1"/>
  <c r="F33" i="1"/>
  <c r="F34" i="1"/>
  <c r="F17" i="1"/>
  <c r="F15" i="1"/>
  <c r="F14" i="1"/>
  <c r="F16" i="1"/>
  <c r="L28" i="1" l="1"/>
  <c r="G28" i="1"/>
  <c r="M28" i="1" s="1"/>
  <c r="L20" i="1"/>
  <c r="G20" i="1"/>
  <c r="M20" i="1" s="1"/>
  <c r="L40" i="1"/>
  <c r="G40" i="1"/>
  <c r="M40" i="1" s="1"/>
  <c r="L55" i="1"/>
  <c r="G55" i="1"/>
  <c r="L51" i="1"/>
  <c r="G51" i="1"/>
  <c r="M51" i="1" s="1"/>
  <c r="L17" i="1"/>
  <c r="G17" i="1"/>
  <c r="L31" i="1"/>
  <c r="G31" i="1"/>
  <c r="L27" i="1"/>
  <c r="G27" i="1"/>
  <c r="M27" i="1" s="1"/>
  <c r="L23" i="1"/>
  <c r="G23" i="1"/>
  <c r="M23" i="1" s="1"/>
  <c r="L19" i="1"/>
  <c r="G19" i="1"/>
  <c r="M19" i="1" s="1"/>
  <c r="L41" i="1"/>
  <c r="G41" i="1"/>
  <c r="L58" i="1"/>
  <c r="G58" i="1"/>
  <c r="L54" i="1"/>
  <c r="G54" i="1"/>
  <c r="M54" i="1" s="1"/>
  <c r="L50" i="1"/>
  <c r="G50" i="1"/>
  <c r="M50" i="1" s="1"/>
  <c r="L15" i="1"/>
  <c r="G15" i="1"/>
  <c r="M15" i="1" s="1"/>
  <c r="L61" i="1"/>
  <c r="G61" i="1"/>
  <c r="M61" i="1" s="1"/>
  <c r="L16" i="1"/>
  <c r="G16" i="1"/>
  <c r="L34" i="1"/>
  <c r="G34" i="1"/>
  <c r="L26" i="1"/>
  <c r="G26" i="1"/>
  <c r="L22" i="1"/>
  <c r="G22" i="1"/>
  <c r="L18" i="1"/>
  <c r="G18" i="1"/>
  <c r="L57" i="1"/>
  <c r="G57" i="1"/>
  <c r="M57" i="1" s="1"/>
  <c r="L53" i="1"/>
  <c r="G53" i="1"/>
  <c r="L49" i="1"/>
  <c r="G49" i="1"/>
  <c r="M49" i="1" s="1"/>
  <c r="L44" i="1"/>
  <c r="G44" i="1"/>
  <c r="M44" i="1" s="1"/>
  <c r="L14" i="1"/>
  <c r="G14" i="1"/>
  <c r="M14" i="1" s="1"/>
  <c r="L33" i="1"/>
  <c r="G33" i="1"/>
  <c r="M33" i="1" s="1"/>
  <c r="L29" i="1"/>
  <c r="G29" i="1"/>
  <c r="M29" i="1" s="1"/>
  <c r="L25" i="1"/>
  <c r="G25" i="1"/>
  <c r="M25" i="1" s="1"/>
  <c r="L21" i="1"/>
  <c r="G21" i="1"/>
  <c r="L39" i="1"/>
  <c r="G39" i="1"/>
  <c r="M39" i="1" s="1"/>
  <c r="L60" i="1"/>
  <c r="G60" i="1"/>
  <c r="M60" i="1" s="1"/>
  <c r="L56" i="1"/>
  <c r="G56" i="1"/>
  <c r="M56" i="1" s="1"/>
  <c r="L52" i="1"/>
  <c r="G52" i="1"/>
  <c r="L48" i="1"/>
  <c r="G48" i="1"/>
  <c r="L43" i="1"/>
  <c r="G43" i="1"/>
  <c r="M43" i="1" s="1"/>
  <c r="L32" i="1"/>
  <c r="G32" i="1"/>
  <c r="M32" i="1" s="1"/>
  <c r="L24" i="1"/>
  <c r="G24" i="1"/>
  <c r="M24" i="1" s="1"/>
  <c r="L59" i="1"/>
  <c r="G59" i="1"/>
  <c r="M59" i="1" s="1"/>
  <c r="L45" i="1"/>
  <c r="L42" i="1"/>
  <c r="M42" i="1"/>
  <c r="L47" i="1"/>
  <c r="M47" i="1"/>
  <c r="F62" i="1"/>
  <c r="L35" i="1"/>
  <c r="E62" i="1"/>
  <c r="C62" i="1"/>
  <c r="C35" i="1"/>
  <c r="E35" i="1"/>
  <c r="L62" i="1" l="1"/>
  <c r="F35" i="1"/>
  <c r="M62" i="1" l="1"/>
  <c r="M35" i="1" l="1"/>
</calcChain>
</file>

<file path=xl/sharedStrings.xml><?xml version="1.0" encoding="utf-8"?>
<sst xmlns="http://schemas.openxmlformats.org/spreadsheetml/2006/main" count="262" uniqueCount="135">
  <si>
    <t>ÁREA ÚTIL</t>
  </si>
  <si>
    <t>ÁREA COMUM</t>
  </si>
  <si>
    <t>ÁREA BOX</t>
  </si>
  <si>
    <t>BLOCO 1</t>
  </si>
  <si>
    <t>BLOCO 2</t>
  </si>
  <si>
    <t>APTO 402</t>
  </si>
  <si>
    <t>Nº BOX</t>
  </si>
  <si>
    <t>APTO 103</t>
  </si>
  <si>
    <t>APTO 104</t>
  </si>
  <si>
    <t>APTO 403</t>
  </si>
  <si>
    <t>APTO 105</t>
  </si>
  <si>
    <t>APTO 401</t>
  </si>
  <si>
    <t xml:space="preserve">APARTAMENTOS </t>
  </si>
  <si>
    <t>DORM.</t>
  </si>
  <si>
    <t>2D</t>
  </si>
  <si>
    <t>3D</t>
  </si>
  <si>
    <t xml:space="preserve">APTO 111 </t>
  </si>
  <si>
    <t xml:space="preserve">APTO 112 </t>
  </si>
  <si>
    <t>APTO 113</t>
  </si>
  <si>
    <t>APTO 114</t>
  </si>
  <si>
    <t>APTO 115</t>
  </si>
  <si>
    <t>APTO 116</t>
  </si>
  <si>
    <t>APTO 411</t>
  </si>
  <si>
    <t>APTO 412</t>
  </si>
  <si>
    <t>APTO 413</t>
  </si>
  <si>
    <t>TOTAL 21 APTOS</t>
  </si>
  <si>
    <t>APTO 201</t>
  </si>
  <si>
    <t>APTO 202</t>
  </si>
  <si>
    <t>APTO 203</t>
  </si>
  <si>
    <t>APTO 204</t>
  </si>
  <si>
    <t>APTO 205</t>
  </si>
  <si>
    <t>APTO 206</t>
  </si>
  <si>
    <t>APTO 301</t>
  </si>
  <si>
    <t>APTO 302</t>
  </si>
  <si>
    <t>APTO 304</t>
  </si>
  <si>
    <t>APTO 305</t>
  </si>
  <si>
    <t>APTO 306</t>
  </si>
  <si>
    <t>APTO 211</t>
  </si>
  <si>
    <t>APTO 212</t>
  </si>
  <si>
    <t>APTO 213</t>
  </si>
  <si>
    <t>APTO 214</t>
  </si>
  <si>
    <t>APTO 216</t>
  </si>
  <si>
    <t>APTO 311</t>
  </si>
  <si>
    <t>APTO 312</t>
  </si>
  <si>
    <t>APTO 313</t>
  </si>
  <si>
    <t>APTO 315</t>
  </si>
  <si>
    <t>APTO 316</t>
  </si>
  <si>
    <t>20/20A</t>
  </si>
  <si>
    <t>21/21A</t>
  </si>
  <si>
    <t>19/19A</t>
  </si>
  <si>
    <t>18/18A</t>
  </si>
  <si>
    <t>17/17A</t>
  </si>
  <si>
    <t>12/12A</t>
  </si>
  <si>
    <t>16/16A</t>
  </si>
  <si>
    <t>22/22A</t>
  </si>
  <si>
    <t>15/15A</t>
  </si>
  <si>
    <t>11/11A</t>
  </si>
  <si>
    <t>13/13A</t>
  </si>
  <si>
    <t>14/14A</t>
  </si>
  <si>
    <t>1/2</t>
  </si>
  <si>
    <t>53/54</t>
  </si>
  <si>
    <t>51/52</t>
  </si>
  <si>
    <t>49/50</t>
  </si>
  <si>
    <t>25/26</t>
  </si>
  <si>
    <t>31/32</t>
  </si>
  <si>
    <t>23/24</t>
  </si>
  <si>
    <t>45/46</t>
  </si>
  <si>
    <t>29/30</t>
  </si>
  <si>
    <t>PREÇO</t>
  </si>
  <si>
    <t xml:space="preserve">      </t>
  </si>
  <si>
    <t xml:space="preserve">  </t>
  </si>
  <si>
    <t>ÁREA TOTAL</t>
  </si>
  <si>
    <t xml:space="preserve"> </t>
  </si>
  <si>
    <r>
      <t xml:space="preserve">                     </t>
    </r>
    <r>
      <rPr>
        <b/>
        <sz val="10"/>
        <color theme="1"/>
        <rFont val="Calibri"/>
        <family val="2"/>
        <scheme val="minor"/>
      </rPr>
      <t xml:space="preserve"> BLOCO 2</t>
    </r>
  </si>
  <si>
    <t>BOX 40</t>
  </si>
  <si>
    <t>BOX 41</t>
  </si>
  <si>
    <t>BOX 42</t>
  </si>
  <si>
    <t>BOX 43</t>
  </si>
  <si>
    <t>BOX 44</t>
  </si>
  <si>
    <t>BOX 55</t>
  </si>
  <si>
    <t>27/28</t>
  </si>
  <si>
    <t xml:space="preserve">   </t>
  </si>
  <si>
    <t>BOX 33/33A</t>
  </si>
  <si>
    <t>BOX 34/34A</t>
  </si>
  <si>
    <t>BOX 35/35A</t>
  </si>
  <si>
    <t>BOX 36/36A</t>
  </si>
  <si>
    <t xml:space="preserve">               ÁREA BOXES</t>
  </si>
  <si>
    <t>m²</t>
  </si>
  <si>
    <t xml:space="preserve">ÁREA </t>
  </si>
  <si>
    <t>TOTAL APTO</t>
  </si>
  <si>
    <t>TERRAÇO</t>
  </si>
  <si>
    <t>ÁREA</t>
  </si>
  <si>
    <t>D</t>
  </si>
  <si>
    <t>Condições de Pagamento:</t>
  </si>
  <si>
    <t>no Hotel Cercano em baixa e média temporada mediante</t>
  </si>
  <si>
    <t>Rua Piratini nº 381, Bairro Bavária</t>
  </si>
  <si>
    <t>TOTAL 12 BOXES</t>
  </si>
  <si>
    <t>*</t>
  </si>
  <si>
    <t>BOX 47 *</t>
  </si>
  <si>
    <t>BOX 48 *</t>
  </si>
  <si>
    <t>PREÇO S/BOX</t>
  </si>
  <si>
    <t>PREÇO BOX</t>
  </si>
  <si>
    <t>Bloco 2 = julho de 2019</t>
  </si>
  <si>
    <t>Bloco 1 = dezembro 2018</t>
  </si>
  <si>
    <t>Prazo de entrega:</t>
  </si>
  <si>
    <t>BOX EXTRA</t>
  </si>
  <si>
    <t>Reservados</t>
  </si>
  <si>
    <t>Casa Geminada em Cond. Fechado!</t>
  </si>
  <si>
    <t>Dois pavimentos, com 3 dormitórios, sendo uma suite, cozinha, lavanderia, estar e jantar com lareira, sacada com churrasqueira, 1 banho social completo.</t>
  </si>
  <si>
    <t>Bloco 1</t>
  </si>
  <si>
    <t>Bloco 2</t>
  </si>
  <si>
    <t>Vendido</t>
  </si>
  <si>
    <t>Vendidos</t>
  </si>
  <si>
    <t>2) Saldo até 42X</t>
  </si>
  <si>
    <t>3) Na entrega 10% ( opcional) /INCC</t>
  </si>
  <si>
    <t>3)Idem</t>
  </si>
  <si>
    <t>Após entrega IGPM + 1% ao mês</t>
  </si>
  <si>
    <t xml:space="preserve">*DEC APTO 101 </t>
  </si>
  <si>
    <t>*DEC APTO 303</t>
  </si>
  <si>
    <t xml:space="preserve">APTO 102 </t>
  </si>
  <si>
    <t>vendido</t>
  </si>
  <si>
    <t>59/60</t>
  </si>
  <si>
    <t>box 54</t>
  </si>
  <si>
    <t xml:space="preserve">1)  8% </t>
  </si>
  <si>
    <t>2) Entrada 35% e saldo em até 36x PREÇO TABELA /INCC</t>
  </si>
  <si>
    <t>reserva e disponibilidade (fechamento conforme Tabela), para utilização até a entrega da obra..</t>
  </si>
  <si>
    <t>**DEC APTO 106</t>
  </si>
  <si>
    <t>APTO 314</t>
  </si>
  <si>
    <t>APTO 215</t>
  </si>
  <si>
    <r>
      <rPr>
        <b/>
        <sz val="11"/>
        <color theme="1"/>
        <rFont val="Calibri"/>
        <family val="2"/>
        <scheme val="minor"/>
      </rPr>
      <t>Observação:</t>
    </r>
    <r>
      <rPr>
        <sz val="11"/>
        <color theme="1"/>
        <rFont val="Calibri"/>
        <family val="2"/>
        <scheme val="minor"/>
      </rPr>
      <t xml:space="preserve"> Para cada R$ 50.000,00 pagos dá direito a uma diária </t>
    </r>
  </si>
  <si>
    <t>Possibilidade parcelamento direto em até 60X ou financiamento bancário.</t>
  </si>
  <si>
    <t>**APTO 106 A : Mobilia e Decoração- Valor R$ 155.000,00 ( em 6X fixas)</t>
  </si>
  <si>
    <t>*APTO 101 A:  Mobília e Decoração- Valor R$ 170.000,00 ( em 6X fixas)</t>
  </si>
  <si>
    <t>*** APTO 303 A : Em fase de montagem</t>
  </si>
  <si>
    <t>Julho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</si>
</sst>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164" formatCode="&quot;R$&quot;\ #,##0.00"/>
    <numFmt numFmtId="165" formatCode="[$-F800]dddd\,\ mmmm\ dd\,\ yyyy"/>
    <numFmt numFmtId="166" formatCode="[$-416]d\-mmm\-yy;@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Aharoni"/>
      <charset val="177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6"/>
      <color theme="1"/>
      <name val="Arial Black"/>
      <family val="2"/>
    </font>
    <font>
      <b/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49998474074526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48">
    <xf numFmtId="0" fontId="0" fillId="0" borderId="0" xfId="0"/>
    <xf numFmtId="0" fontId="1" fillId="0" borderId="0" xfId="0" applyFont="1"/>
    <xf numFmtId="14" fontId="0" fillId="0" borderId="0" xfId="0" applyNumberFormat="1"/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/>
    <xf numFmtId="0" fontId="4" fillId="0" borderId="0" xfId="0" applyFont="1" applyBorder="1"/>
    <xf numFmtId="0" fontId="3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2" fontId="3" fillId="4" borderId="8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2" fontId="4" fillId="2" borderId="5" xfId="0" applyNumberFormat="1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" fontId="4" fillId="0" borderId="0" xfId="0" applyNumberFormat="1" applyFont="1" applyBorder="1" applyAlignment="1">
      <alignment horizontal="center"/>
    </xf>
    <xf numFmtId="2" fontId="4" fillId="2" borderId="0" xfId="0" applyNumberFormat="1" applyFont="1" applyFill="1" applyBorder="1" applyAlignment="1">
      <alignment horizontal="center"/>
    </xf>
    <xf numFmtId="0" fontId="6" fillId="0" borderId="0" xfId="0" applyFont="1"/>
    <xf numFmtId="0" fontId="3" fillId="4" borderId="3" xfId="0" applyFont="1" applyFill="1" applyBorder="1" applyAlignment="1">
      <alignment horizontal="center"/>
    </xf>
    <xf numFmtId="0" fontId="0" fillId="0" borderId="3" xfId="0" applyBorder="1"/>
    <xf numFmtId="164" fontId="4" fillId="0" borderId="1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8" fillId="0" borderId="0" xfId="0" applyNumberFormat="1" applyFont="1" applyAlignment="1">
      <alignment horizontal="lef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2" fontId="4" fillId="0" borderId="4" xfId="0" applyNumberFormat="1" applyFont="1" applyBorder="1" applyAlignment="1">
      <alignment horizontal="left"/>
    </xf>
    <xf numFmtId="2" fontId="0" fillId="3" borderId="9" xfId="0" applyNumberFormat="1" applyFill="1" applyBorder="1"/>
    <xf numFmtId="2" fontId="4" fillId="3" borderId="4" xfId="0" applyNumberFormat="1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4" borderId="0" xfId="0" applyFont="1" applyFill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0" fillId="0" borderId="0" xfId="0" applyNumberFormat="1"/>
    <xf numFmtId="2" fontId="4" fillId="0" borderId="0" xfId="0" applyNumberFormat="1" applyFont="1" applyBorder="1" applyAlignment="1">
      <alignment horizontal="left"/>
    </xf>
    <xf numFmtId="0" fontId="4" fillId="5" borderId="5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7" xfId="0" applyBorder="1"/>
    <xf numFmtId="0" fontId="0" fillId="5" borderId="0" xfId="0" applyFill="1"/>
    <xf numFmtId="0" fontId="0" fillId="2" borderId="0" xfId="0" applyFill="1"/>
    <xf numFmtId="0" fontId="0" fillId="6" borderId="0" xfId="0" applyFill="1"/>
    <xf numFmtId="2" fontId="3" fillId="3" borderId="8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9" fillId="4" borderId="20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44" fontId="4" fillId="0" borderId="1" xfId="1" applyFont="1" applyBorder="1" applyAlignment="1">
      <alignment horizontal="center"/>
    </xf>
    <xf numFmtId="44" fontId="4" fillId="0" borderId="5" xfId="1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44" fontId="4" fillId="2" borderId="5" xfId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5" borderId="1" xfId="0" applyNumberFormat="1" applyFont="1" applyFill="1" applyBorder="1" applyAlignment="1">
      <alignment horizontal="center"/>
    </xf>
    <xf numFmtId="1" fontId="4" fillId="5" borderId="5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center"/>
    </xf>
    <xf numFmtId="0" fontId="3" fillId="5" borderId="0" xfId="0" applyFont="1" applyFill="1" applyBorder="1"/>
    <xf numFmtId="0" fontId="3" fillId="5" borderId="0" xfId="0" applyFont="1" applyFill="1"/>
    <xf numFmtId="0" fontId="1" fillId="5" borderId="0" xfId="0" applyFont="1" applyFill="1"/>
    <xf numFmtId="0" fontId="3" fillId="7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2" fontId="4" fillId="7" borderId="1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44" fontId="4" fillId="7" borderId="1" xfId="1" applyFont="1" applyFill="1" applyBorder="1" applyAlignment="1">
      <alignment horizontal="center"/>
    </xf>
    <xf numFmtId="44" fontId="4" fillId="7" borderId="5" xfId="1" applyFont="1" applyFill="1" applyBorder="1" applyAlignment="1">
      <alignment horizontal="center"/>
    </xf>
    <xf numFmtId="2" fontId="4" fillId="7" borderId="5" xfId="0" applyNumberFormat="1" applyFont="1" applyFill="1" applyBorder="1" applyAlignment="1">
      <alignment horizontal="center"/>
    </xf>
    <xf numFmtId="164" fontId="4" fillId="7" borderId="1" xfId="0" applyNumberFormat="1" applyFont="1" applyFill="1" applyBorder="1" applyAlignment="1">
      <alignment horizontal="center"/>
    </xf>
    <xf numFmtId="0" fontId="0" fillId="7" borderId="0" xfId="0" applyFill="1"/>
    <xf numFmtId="17" fontId="0" fillId="0" borderId="0" xfId="0" applyNumberFormat="1"/>
    <xf numFmtId="0" fontId="0" fillId="8" borderId="0" xfId="0" applyFill="1"/>
    <xf numFmtId="14" fontId="11" fillId="0" borderId="0" xfId="0" applyNumberFormat="1" applyFont="1"/>
    <xf numFmtId="0" fontId="3" fillId="0" borderId="6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44" fontId="4" fillId="0" borderId="5" xfId="1" applyFont="1" applyFill="1" applyBorder="1" applyAlignment="1">
      <alignment horizontal="center"/>
    </xf>
    <xf numFmtId="2" fontId="4" fillId="0" borderId="5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2" fontId="4" fillId="0" borderId="2" xfId="0" applyNumberFormat="1" applyFont="1" applyFill="1" applyBorder="1" applyAlignment="1">
      <alignment horizontal="center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164" fontId="4" fillId="8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49" fontId="0" fillId="0" borderId="0" xfId="0" applyNumberFormat="1"/>
    <xf numFmtId="166" fontId="12" fillId="0" borderId="0" xfId="0" applyNumberFormat="1" applyFont="1"/>
    <xf numFmtId="165" fontId="4" fillId="0" borderId="20" xfId="0" applyNumberFormat="1" applyFont="1" applyBorder="1"/>
    <xf numFmtId="0" fontId="0" fillId="0" borderId="0" xfId="0" applyFill="1" applyBorder="1"/>
    <xf numFmtId="0" fontId="0" fillId="3" borderId="15" xfId="0" applyFill="1" applyBorder="1"/>
    <xf numFmtId="0" fontId="0" fillId="3" borderId="25" xfId="0" applyFill="1" applyBorder="1"/>
    <xf numFmtId="0" fontId="0" fillId="9" borderId="15" xfId="0" applyFill="1" applyBorder="1"/>
    <xf numFmtId="0" fontId="0" fillId="9" borderId="0" xfId="0" applyFill="1" applyBorder="1"/>
    <xf numFmtId="0" fontId="0" fillId="9" borderId="25" xfId="0" applyFill="1" applyBorder="1"/>
    <xf numFmtId="0" fontId="0" fillId="9" borderId="16" xfId="0" applyFill="1" applyBorder="1"/>
    <xf numFmtId="0" fontId="0" fillId="9" borderId="17" xfId="0" applyFill="1" applyBorder="1"/>
    <xf numFmtId="0" fontId="0" fillId="9" borderId="18" xfId="0" applyFill="1" applyBorder="1"/>
    <xf numFmtId="0" fontId="12" fillId="9" borderId="12" xfId="0" applyFont="1" applyFill="1" applyBorder="1"/>
    <xf numFmtId="0" fontId="12" fillId="9" borderId="13" xfId="0" applyFont="1" applyFill="1" applyBorder="1"/>
    <xf numFmtId="0" fontId="3" fillId="10" borderId="6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2" fontId="4" fillId="10" borderId="7" xfId="0" applyNumberFormat="1" applyFont="1" applyFill="1" applyBorder="1" applyAlignment="1">
      <alignment horizontal="center"/>
    </xf>
    <xf numFmtId="2" fontId="4" fillId="10" borderId="2" xfId="0" applyNumberFormat="1" applyFont="1" applyFill="1" applyBorder="1" applyAlignment="1">
      <alignment horizontal="center"/>
    </xf>
    <xf numFmtId="2" fontId="4" fillId="10" borderId="1" xfId="0" applyNumberFormat="1" applyFont="1" applyFill="1" applyBorder="1" applyAlignment="1">
      <alignment horizontal="center"/>
    </xf>
    <xf numFmtId="44" fontId="4" fillId="10" borderId="5" xfId="1" applyFont="1" applyFill="1" applyBorder="1" applyAlignment="1">
      <alignment horizontal="center"/>
    </xf>
    <xf numFmtId="0" fontId="4" fillId="10" borderId="5" xfId="0" applyNumberFormat="1" applyFont="1" applyFill="1" applyBorder="1" applyAlignment="1">
      <alignment horizontal="center"/>
    </xf>
    <xf numFmtId="0" fontId="4" fillId="10" borderId="5" xfId="0" applyFont="1" applyFill="1" applyBorder="1" applyAlignment="1">
      <alignment horizontal="center"/>
    </xf>
    <xf numFmtId="2" fontId="4" fillId="10" borderId="5" xfId="0" applyNumberFormat="1" applyFont="1" applyFill="1" applyBorder="1" applyAlignment="1">
      <alignment horizontal="center"/>
    </xf>
    <xf numFmtId="164" fontId="4" fillId="10" borderId="7" xfId="0" applyNumberFormat="1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/>
    </xf>
    <xf numFmtId="164" fontId="4" fillId="10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right"/>
    </xf>
    <xf numFmtId="2" fontId="4" fillId="8" borderId="4" xfId="0" applyNumberFormat="1" applyFont="1" applyFill="1" applyBorder="1" applyAlignment="1">
      <alignment horizontal="left"/>
    </xf>
    <xf numFmtId="0" fontId="4" fillId="7" borderId="1" xfId="0" applyNumberFormat="1" applyFont="1" applyFill="1" applyBorder="1" applyAlignment="1">
      <alignment horizontal="center"/>
    </xf>
    <xf numFmtId="2" fontId="4" fillId="8" borderId="9" xfId="0" applyNumberFormat="1" applyFont="1" applyFill="1" applyBorder="1" applyAlignment="1">
      <alignment horizontal="right"/>
    </xf>
    <xf numFmtId="2" fontId="4" fillId="0" borderId="9" xfId="0" applyNumberFormat="1" applyFont="1" applyFill="1" applyBorder="1" applyAlignment="1">
      <alignment horizontal="right"/>
    </xf>
    <xf numFmtId="2" fontId="4" fillId="0" borderId="4" xfId="0" applyNumberFormat="1" applyFont="1" applyFill="1" applyBorder="1" applyAlignment="1">
      <alignment horizontal="left"/>
    </xf>
    <xf numFmtId="0" fontId="4" fillId="2" borderId="7" xfId="0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2" xfId="0" applyNumberFormat="1" applyFont="1" applyFill="1" applyBorder="1" applyAlignment="1">
      <alignment horizontal="center"/>
    </xf>
    <xf numFmtId="0" fontId="4" fillId="2" borderId="5" xfId="0" applyNumberFormat="1" applyFont="1" applyFill="1" applyBorder="1" applyAlignment="1">
      <alignment horizontal="center"/>
    </xf>
    <xf numFmtId="0" fontId="3" fillId="11" borderId="6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2" fontId="4" fillId="11" borderId="1" xfId="0" applyNumberFormat="1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44" fontId="4" fillId="11" borderId="5" xfId="1" applyFont="1" applyFill="1" applyBorder="1" applyAlignment="1">
      <alignment horizontal="center"/>
    </xf>
    <xf numFmtId="2" fontId="4" fillId="11" borderId="5" xfId="0" applyNumberFormat="1" applyFont="1" applyFill="1" applyBorder="1" applyAlignment="1">
      <alignment horizontal="center"/>
    </xf>
    <xf numFmtId="164" fontId="4" fillId="11" borderId="1" xfId="0" applyNumberFormat="1" applyFont="1" applyFill="1" applyBorder="1" applyAlignment="1">
      <alignment horizontal="center"/>
    </xf>
    <xf numFmtId="0" fontId="4" fillId="11" borderId="5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2" fontId="4" fillId="8" borderId="1" xfId="0" applyNumberFormat="1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44" fontId="4" fillId="8" borderId="1" xfId="1" applyFont="1" applyFill="1" applyBorder="1" applyAlignment="1">
      <alignment horizontal="center"/>
    </xf>
    <xf numFmtId="1" fontId="4" fillId="8" borderId="5" xfId="0" applyNumberFormat="1" applyFont="1" applyFill="1" applyBorder="1" applyAlignment="1">
      <alignment horizontal="center"/>
    </xf>
    <xf numFmtId="44" fontId="4" fillId="8" borderId="5" xfId="1" applyFont="1" applyFill="1" applyBorder="1" applyAlignment="1">
      <alignment horizontal="center"/>
    </xf>
    <xf numFmtId="2" fontId="4" fillId="8" borderId="5" xfId="0" applyNumberFormat="1" applyFont="1" applyFill="1" applyBorder="1" applyAlignment="1">
      <alignment horizontal="center"/>
    </xf>
    <xf numFmtId="2" fontId="4" fillId="8" borderId="7" xfId="0" applyNumberFormat="1" applyFont="1" applyFill="1" applyBorder="1" applyAlignment="1">
      <alignment horizontal="center"/>
    </xf>
    <xf numFmtId="2" fontId="4" fillId="8" borderId="2" xfId="0" applyNumberFormat="1" applyFont="1" applyFill="1" applyBorder="1" applyAlignment="1">
      <alignment horizontal="center"/>
    </xf>
    <xf numFmtId="1" fontId="4" fillId="8" borderId="1" xfId="0" applyNumberFormat="1" applyFont="1" applyFill="1" applyBorder="1" applyAlignment="1">
      <alignment horizontal="center"/>
    </xf>
    <xf numFmtId="0" fontId="4" fillId="8" borderId="5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2" fontId="4" fillId="8" borderId="4" xfId="0" applyNumberFormat="1" applyFont="1" applyFill="1" applyBorder="1" applyAlignment="1">
      <alignment horizontal="center"/>
    </xf>
    <xf numFmtId="0" fontId="4" fillId="8" borderId="7" xfId="0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164" fontId="4" fillId="8" borderId="7" xfId="0" applyNumberFormat="1" applyFont="1" applyFill="1" applyBorder="1" applyAlignment="1">
      <alignment horizontal="center"/>
    </xf>
    <xf numFmtId="0" fontId="4" fillId="8" borderId="5" xfId="0" applyNumberFormat="1" applyFont="1" applyFill="1" applyBorder="1" applyAlignment="1">
      <alignment horizontal="center"/>
    </xf>
    <xf numFmtId="0" fontId="14" fillId="0" borderId="9" xfId="0" applyFont="1" applyBorder="1"/>
    <xf numFmtId="0" fontId="15" fillId="0" borderId="8" xfId="0" applyFont="1" applyBorder="1"/>
    <xf numFmtId="0" fontId="14" fillId="9" borderId="8" xfId="0" applyFont="1" applyFill="1" applyBorder="1"/>
    <xf numFmtId="0" fontId="14" fillId="0" borderId="8" xfId="0" applyFont="1" applyBorder="1"/>
    <xf numFmtId="0" fontId="13" fillId="0" borderId="8" xfId="0" applyFont="1" applyBorder="1"/>
    <xf numFmtId="0" fontId="13" fillId="0" borderId="4" xfId="0" applyFont="1" applyBorder="1"/>
    <xf numFmtId="1" fontId="4" fillId="2" borderId="5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164" fontId="4" fillId="0" borderId="5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44" fontId="4" fillId="0" borderId="7" xfId="1" applyFont="1" applyFill="1" applyBorder="1" applyAlignment="1">
      <alignment horizontal="center"/>
    </xf>
    <xf numFmtId="0" fontId="4" fillId="0" borderId="7" xfId="0" applyNumberFormat="1" applyFont="1" applyFill="1" applyBorder="1" applyAlignment="1">
      <alignment horizontal="center"/>
    </xf>
    <xf numFmtId="0" fontId="1" fillId="9" borderId="15" xfId="0" applyFont="1" applyFill="1" applyBorder="1"/>
    <xf numFmtId="0" fontId="1" fillId="9" borderId="0" xfId="0" applyFont="1" applyFill="1" applyBorder="1"/>
    <xf numFmtId="0" fontId="0" fillId="9" borderId="12" xfId="0" applyFill="1" applyBorder="1"/>
    <xf numFmtId="0" fontId="0" fillId="9" borderId="13" xfId="0" applyFill="1" applyBorder="1"/>
    <xf numFmtId="0" fontId="0" fillId="9" borderId="14" xfId="0" applyFill="1" applyBorder="1"/>
    <xf numFmtId="49" fontId="11" fillId="0" borderId="0" xfId="0" applyNumberFormat="1" applyFont="1"/>
    <xf numFmtId="0" fontId="11" fillId="0" borderId="0" xfId="0" applyFont="1"/>
    <xf numFmtId="0" fontId="14" fillId="0" borderId="26" xfId="0" applyFont="1" applyBorder="1"/>
    <xf numFmtId="0" fontId="0" fillId="0" borderId="19" xfId="0" applyBorder="1"/>
    <xf numFmtId="0" fontId="0" fillId="0" borderId="2" xfId="0" applyBorder="1"/>
    <xf numFmtId="0" fontId="14" fillId="0" borderId="21" xfId="0" applyFont="1" applyBorder="1"/>
    <xf numFmtId="0" fontId="15" fillId="0" borderId="27" xfId="0" applyFont="1" applyBorder="1"/>
    <xf numFmtId="0" fontId="13" fillId="0" borderId="27" xfId="0" applyFont="1" applyBorder="1"/>
    <xf numFmtId="0" fontId="0" fillId="0" borderId="27" xfId="0" applyBorder="1"/>
    <xf numFmtId="0" fontId="0" fillId="0" borderId="28" xfId="0" applyBorder="1"/>
    <xf numFmtId="0" fontId="4" fillId="0" borderId="9" xfId="0" applyFont="1" applyFill="1" applyBorder="1" applyAlignment="1">
      <alignment horizontal="right"/>
    </xf>
    <xf numFmtId="0" fontId="3" fillId="12" borderId="6" xfId="0" applyFont="1" applyFill="1" applyBorder="1" applyAlignment="1">
      <alignment horizontal="center"/>
    </xf>
    <xf numFmtId="2" fontId="4" fillId="12" borderId="9" xfId="0" applyNumberFormat="1" applyFont="1" applyFill="1" applyBorder="1" applyAlignment="1">
      <alignment horizontal="right"/>
    </xf>
    <xf numFmtId="2" fontId="4" fillId="12" borderId="4" xfId="0" applyNumberFormat="1" applyFont="1" applyFill="1" applyBorder="1" applyAlignment="1">
      <alignment horizontal="left"/>
    </xf>
    <xf numFmtId="164" fontId="4" fillId="12" borderId="1" xfId="0" applyNumberFormat="1" applyFont="1" applyFill="1" applyBorder="1" applyAlignment="1">
      <alignment horizontal="center"/>
    </xf>
    <xf numFmtId="0" fontId="17" fillId="2" borderId="6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2" fontId="16" fillId="0" borderId="7" xfId="0" applyNumberFormat="1" applyFont="1" applyFill="1" applyBorder="1" applyAlignment="1">
      <alignment horizontal="center"/>
    </xf>
    <xf numFmtId="2" fontId="16" fillId="0" borderId="2" xfId="0" applyNumberFormat="1" applyFont="1" applyFill="1" applyBorder="1" applyAlignment="1">
      <alignment horizontal="center"/>
    </xf>
    <xf numFmtId="2" fontId="16" fillId="0" borderId="1" xfId="0" applyNumberFormat="1" applyFont="1" applyFill="1" applyBorder="1" applyAlignment="1">
      <alignment horizontal="center"/>
    </xf>
    <xf numFmtId="44" fontId="16" fillId="0" borderId="5" xfId="1" applyFont="1" applyFill="1" applyBorder="1" applyAlignment="1">
      <alignment horizontal="center"/>
    </xf>
    <xf numFmtId="0" fontId="16" fillId="0" borderId="5" xfId="0" applyNumberFormat="1" applyFont="1" applyFill="1" applyBorder="1" applyAlignment="1">
      <alignment horizontal="center"/>
    </xf>
    <xf numFmtId="2" fontId="16" fillId="0" borderId="5" xfId="0" applyNumberFormat="1" applyFont="1" applyFill="1" applyBorder="1" applyAlignment="1">
      <alignment horizontal="center"/>
    </xf>
    <xf numFmtId="164" fontId="16" fillId="0" borderId="7" xfId="0" applyNumberFormat="1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164" fontId="16" fillId="0" borderId="1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220066</xdr:colOff>
      <xdr:row>2</xdr:row>
      <xdr:rowOff>285750</xdr:rowOff>
    </xdr:from>
    <xdr:to>
      <xdr:col>5</xdr:col>
      <xdr:colOff>1037253</xdr:colOff>
      <xdr:row>9</xdr:row>
      <xdr:rowOff>199264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 t="11709"/>
        <a:stretch/>
      </xdr:blipFill>
      <xdr:spPr>
        <a:xfrm>
          <a:off x="220066" y="314908"/>
          <a:ext cx="5358863" cy="911370"/>
        </a:xfrm>
        <a:prstGeom prst="rect">
          <a:avLst/>
        </a:prstGeom>
      </xdr:spPr>
    </xdr:pic>
    <xdr:clientData/>
  </xdr:twoCellAnchor>
  <xdr:twoCellAnchor editAs="oneCell">
    <xdr:from>
      <xdr:col>4</xdr:col>
      <xdr:colOff>22939</xdr:colOff>
      <xdr:row>97</xdr:row>
      <xdr:rowOff>1</xdr:rowOff>
    </xdr:from>
    <xdr:to>
      <xdr:col>9</xdr:col>
      <xdr:colOff>913623</xdr:colOff>
      <xdr:row>102</xdr:row>
      <xdr:rowOff>29934</xdr:rowOff>
    </xdr:to>
    <xdr:pic>
      <xdr:nvPicPr>
        <xdr:cNvPr id="10" name="Imagem 9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70"/>
        <a:stretch/>
      </xdr:blipFill>
      <xdr:spPr>
        <a:xfrm>
          <a:off x="3113704" y="17300511"/>
          <a:ext cx="3738465" cy="1001872"/>
        </a:xfrm>
        <a:prstGeom prst="rect">
          <a:avLst/>
        </a:prstGeom>
      </xdr:spPr>
    </xdr:pic>
    <xdr:clientData/>
  </xdr:twoCellAnchor>
  <xdr:twoCellAnchor editAs="oneCell">
    <xdr:from>
      <xdr:col>6</xdr:col>
      <xdr:colOff>720562</xdr:colOff>
      <xdr:row>121</xdr:row>
      <xdr:rowOff>38878</xdr:rowOff>
    </xdr:from>
    <xdr:to>
      <xdr:col>12</xdr:col>
      <xdr:colOff>687689</xdr:colOff>
      <xdr:row>136</xdr:row>
      <xdr:rowOff>155120</xdr:rowOff>
    </xdr:to>
    <xdr:pic>
      <xdr:nvPicPr>
        <xdr:cNvPr id="4" name="Imagem 3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1261" b="72331"/>
        <a:stretch/>
      </xdr:blipFill>
      <xdr:spPr>
        <a:xfrm>
          <a:off x="5696889" y="22976633"/>
          <a:ext cx="3636195" cy="3032059"/>
        </a:xfrm>
        <a:prstGeom prst="rect">
          <a:avLst/>
        </a:prstGeom>
      </xdr:spPr>
    </xdr:pic>
    <xdr:clientData/>
  </xdr:twoCellAnchor>
  <xdr:twoCellAnchor editAs="oneCell">
    <xdr:from>
      <xdr:col>1</xdr:col>
      <xdr:colOff>204466</xdr:colOff>
      <xdr:row>121</xdr:row>
      <xdr:rowOff>91360</xdr:rowOff>
    </xdr:from>
    <xdr:to>
      <xdr:col>5</xdr:col>
      <xdr:colOff>699796</xdr:colOff>
      <xdr:row>136</xdr:row>
      <xdr:rowOff>187389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3412" b="72079"/>
        <a:stretch/>
      </xdr:blipFill>
      <xdr:spPr>
        <a:xfrm>
          <a:off x="1118088" y="23029115"/>
          <a:ext cx="3479182" cy="3011846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47624</xdr:colOff>
      <xdr:row>2</xdr:row>
      <xdr:rowOff>28575</xdr:rowOff>
    </xdr:from>
    <xdr:to>
      <xdr:col>12</xdr:col>
      <xdr:colOff>1048197</xdr:colOff>
      <xdr:row>9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4" y="57150"/>
          <a:ext cx="1029148" cy="1133475"/>
        </a:xfrm>
        <a:prstGeom prst="rect">
          <a:avLst/>
        </a:prstGeom>
      </xdr:spPr>
    </xdr:pic>
    <xdr:clientData/>
  </xdr:twoCellAnchor>
  <xdr:twoCellAnchor editAs="oneCell">
    <xdr:from>
      <xdr:col>3</xdr:col>
      <xdr:colOff>359375</xdr:colOff>
      <xdr:row>101</xdr:row>
      <xdr:rowOff>96465</xdr:rowOff>
    </xdr:from>
    <xdr:to>
      <xdr:col>11</xdr:col>
      <xdr:colOff>622253</xdr:colOff>
      <xdr:row>120</xdr:row>
      <xdr:rowOff>106913</xdr:rowOff>
    </xdr:to>
    <xdr:pic>
      <xdr:nvPicPr>
        <xdr:cNvPr id="7" name="Imagem 6"/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658" t="18584" r="30155" b="20147"/>
        <a:stretch/>
      </xdr:blipFill>
      <xdr:spPr>
        <a:xfrm>
          <a:off x="2594834" y="19146465"/>
          <a:ext cx="4918465" cy="3703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55"/>
  <sheetViews>
    <sheetView tabSelected="1" topLeftCell="A3" zoomScale="98" zoomScaleNormal="98" workbookViewId="0">
      <selection activeCell="C11" sqref="C11"/>
    </sheetView>
  </sheetViews>
  <sheetFormatPr defaultRowHeight="15"/>
  <cols>
    <col min="1" max="1" width="13.7109375" style="1" customWidth="1"/>
    <col min="2" max="2" width="10" customWidth="1"/>
    <col min="3" max="3" width="9.7109375" customWidth="1"/>
    <col min="4" max="4" width="12.85546875" customWidth="1"/>
    <col min="5" max="5" width="12.140625" customWidth="1"/>
    <col min="6" max="6" width="16.140625" customWidth="1"/>
    <col min="7" max="7" width="0.140625" customWidth="1"/>
    <col min="8" max="9" width="7.140625" customWidth="1"/>
    <col min="10" max="10" width="14.140625" customWidth="1"/>
    <col min="11" max="11" width="0.140625" customWidth="1"/>
    <col min="12" max="12" width="15.5703125" customWidth="1"/>
    <col min="13" max="13" width="15.7109375" customWidth="1"/>
    <col min="14" max="14" width="27.28515625" customWidth="1"/>
    <col min="15" max="15" width="18.28515625" customWidth="1"/>
    <col min="16" max="16" width="16.7109375" customWidth="1"/>
    <col min="17" max="17" width="19.42578125" customWidth="1"/>
    <col min="18" max="18" width="11.85546875" customWidth="1"/>
  </cols>
  <sheetData>
    <row r="1" spans="1:13" ht="2.25" customHeight="1">
      <c r="E1" s="2"/>
    </row>
    <row r="2" spans="1:13" ht="4.5" hidden="1" customHeight="1"/>
    <row r="3" spans="1:13" ht="23.25" customHeight="1">
      <c r="A3" s="49"/>
      <c r="B3" s="3" t="s">
        <v>69</v>
      </c>
    </row>
    <row r="4" spans="1:13" ht="6" hidden="1" customHeight="1"/>
    <row r="5" spans="1:13" ht="5.25" hidden="1" customHeight="1"/>
    <row r="6" spans="1:13" ht="6" customHeight="1">
      <c r="L6" s="4"/>
    </row>
    <row r="7" spans="1:13" ht="24.75">
      <c r="C7" s="39" t="s">
        <v>70</v>
      </c>
    </row>
    <row r="9" spans="1:13" ht="10.5" customHeight="1">
      <c r="J9" s="133"/>
    </row>
    <row r="10" spans="1:13" ht="19.5" thickBot="1">
      <c r="J10" s="112"/>
      <c r="K10" s="2"/>
      <c r="L10" s="2"/>
    </row>
    <row r="11" spans="1:13" ht="19.5" thickBot="1">
      <c r="A11" s="215" t="s">
        <v>134</v>
      </c>
      <c r="B11" s="216"/>
      <c r="E11" s="41"/>
      <c r="I11" s="110"/>
      <c r="J11" s="134"/>
      <c r="L11" s="135"/>
      <c r="M11" s="112"/>
    </row>
    <row r="12" spans="1:13" ht="15.75" thickBot="1">
      <c r="D12" s="59" t="s">
        <v>88</v>
      </c>
      <c r="E12" s="40" t="s">
        <v>3</v>
      </c>
      <c r="F12" s="59" t="s">
        <v>88</v>
      </c>
      <c r="G12" s="59"/>
      <c r="H12" s="41"/>
      <c r="I12" s="34"/>
      <c r="J12" s="75" t="s">
        <v>95</v>
      </c>
      <c r="K12" s="75"/>
      <c r="L12" s="75"/>
      <c r="M12" s="75"/>
    </row>
    <row r="13" spans="1:13" ht="15.75" thickBot="1">
      <c r="A13" s="56" t="s">
        <v>12</v>
      </c>
      <c r="B13" s="57" t="s">
        <v>13</v>
      </c>
      <c r="C13" s="57" t="s">
        <v>0</v>
      </c>
      <c r="D13" s="57" t="s">
        <v>90</v>
      </c>
      <c r="E13" s="56" t="s">
        <v>1</v>
      </c>
      <c r="F13" s="59" t="s">
        <v>89</v>
      </c>
      <c r="G13" s="80" t="s">
        <v>100</v>
      </c>
      <c r="H13" s="58" t="s">
        <v>6</v>
      </c>
      <c r="I13" s="78" t="s">
        <v>92</v>
      </c>
      <c r="J13" s="83" t="s">
        <v>2</v>
      </c>
      <c r="K13" s="57" t="s">
        <v>101</v>
      </c>
      <c r="L13" s="79" t="s">
        <v>71</v>
      </c>
      <c r="M13" s="57" t="s">
        <v>68</v>
      </c>
    </row>
    <row r="14" spans="1:13">
      <c r="A14" s="230" t="s">
        <v>117</v>
      </c>
      <c r="B14" s="87" t="s">
        <v>14</v>
      </c>
      <c r="C14" s="16">
        <v>86.05</v>
      </c>
      <c r="D14" s="16"/>
      <c r="E14" s="88">
        <v>11.52</v>
      </c>
      <c r="F14" s="16">
        <f>C14+E14</f>
        <v>97.57</v>
      </c>
      <c r="G14" s="89">
        <f>(5150*1.125*1.09)*F14*1.05</f>
        <v>646981.48659375019</v>
      </c>
      <c r="H14" s="95">
        <v>10</v>
      </c>
      <c r="I14" s="96" t="s">
        <v>97</v>
      </c>
      <c r="J14" s="91">
        <v>28.19</v>
      </c>
      <c r="K14" s="92">
        <f>(3000*1.09)*J14*1.05</f>
        <v>96790.36500000002</v>
      </c>
      <c r="L14" s="33">
        <f t="shared" ref="L14:L34" si="0">F14+J14</f>
        <v>125.75999999999999</v>
      </c>
      <c r="M14" s="93">
        <f>G14+K14</f>
        <v>743771.85159375018</v>
      </c>
    </row>
    <row r="15" spans="1:13">
      <c r="A15" s="77" t="s">
        <v>119</v>
      </c>
      <c r="B15" s="168" t="s">
        <v>14</v>
      </c>
      <c r="C15" s="169">
        <v>83.16</v>
      </c>
      <c r="D15" s="169"/>
      <c r="E15" s="170">
        <v>11.14</v>
      </c>
      <c r="F15" s="16">
        <f>C15+E15</f>
        <v>94.3</v>
      </c>
      <c r="G15" s="89">
        <f>(5380*1.125*1.09)*F15*1.05</f>
        <v>653224.23337500007</v>
      </c>
      <c r="H15" s="90">
        <v>9</v>
      </c>
      <c r="I15" s="90" t="s">
        <v>97</v>
      </c>
      <c r="J15" s="87">
        <v>28.57</v>
      </c>
      <c r="K15" s="92">
        <f>(3000*1.09)*J15*1.05</f>
        <v>98095.095000000016</v>
      </c>
      <c r="L15" s="33">
        <f t="shared" si="0"/>
        <v>122.87</v>
      </c>
      <c r="M15" s="93">
        <f t="shared" ref="M15:M33" si="1">G15+K15</f>
        <v>751319.32837500004</v>
      </c>
    </row>
    <row r="16" spans="1:13">
      <c r="A16" s="127" t="s">
        <v>7</v>
      </c>
      <c r="B16" s="180" t="s">
        <v>15</v>
      </c>
      <c r="C16" s="181">
        <v>104.68</v>
      </c>
      <c r="D16" s="181">
        <v>55.81</v>
      </c>
      <c r="E16" s="182">
        <v>16.27</v>
      </c>
      <c r="F16" s="181">
        <f>C16+D16+E16</f>
        <v>176.76000000000002</v>
      </c>
      <c r="G16" s="183">
        <f>(5300*1.125*1.09)*(F16-D16/1.7)*1.05</f>
        <v>982194.02847794141</v>
      </c>
      <c r="H16" s="184" t="s">
        <v>47</v>
      </c>
      <c r="I16" s="184"/>
      <c r="J16" s="181">
        <v>39.86</v>
      </c>
      <c r="K16" s="185">
        <f>(3000*1.09)*J16*0.8*1.05</f>
        <v>109487.44800000002</v>
      </c>
      <c r="L16" s="186">
        <f t="shared" si="0"/>
        <v>216.62</v>
      </c>
      <c r="M16" s="128" t="s">
        <v>111</v>
      </c>
    </row>
    <row r="17" spans="1:20">
      <c r="A17" s="127" t="s">
        <v>8</v>
      </c>
      <c r="B17" s="180" t="s">
        <v>14</v>
      </c>
      <c r="C17" s="187">
        <v>84.98</v>
      </c>
      <c r="D17" s="187">
        <v>49.9</v>
      </c>
      <c r="E17" s="188">
        <v>13.4</v>
      </c>
      <c r="F17" s="181">
        <f>C17+D17+E17</f>
        <v>148.28</v>
      </c>
      <c r="G17" s="183">
        <f>(5350*1.125*1.09)*(F17-D17/1.7)*1.05</f>
        <v>819224.21329411783</v>
      </c>
      <c r="H17" s="189" t="s">
        <v>56</v>
      </c>
      <c r="I17" s="184" t="s">
        <v>97</v>
      </c>
      <c r="J17" s="190">
        <v>59.55</v>
      </c>
      <c r="K17" s="185">
        <f>(3000*1.09)*J17*0.8*1.05</f>
        <v>163571.94000000003</v>
      </c>
      <c r="L17" s="186">
        <f t="shared" si="0"/>
        <v>207.82999999999998</v>
      </c>
      <c r="M17" s="128" t="s">
        <v>111</v>
      </c>
    </row>
    <row r="18" spans="1:20">
      <c r="A18" s="127" t="s">
        <v>10</v>
      </c>
      <c r="B18" s="180" t="s">
        <v>15</v>
      </c>
      <c r="C18" s="181">
        <v>104.16</v>
      </c>
      <c r="D18" s="181">
        <v>55.64</v>
      </c>
      <c r="E18" s="182">
        <v>16.190000000000001</v>
      </c>
      <c r="F18" s="181">
        <f t="shared" ref="F18:F34" si="2">C18+D18+E18</f>
        <v>175.99</v>
      </c>
      <c r="G18" s="183">
        <f>(5350*1.125*1.09)*(F18-D18/1.7)*1.05</f>
        <v>986844.74209742656</v>
      </c>
      <c r="H18" s="184" t="s">
        <v>49</v>
      </c>
      <c r="I18" s="184"/>
      <c r="J18" s="181">
        <v>39.86</v>
      </c>
      <c r="K18" s="185">
        <f>(3000*1.09)*J18*0.8*1.05</f>
        <v>109487.44800000002</v>
      </c>
      <c r="L18" s="186">
        <f t="shared" si="0"/>
        <v>215.85000000000002</v>
      </c>
      <c r="M18" s="128" t="s">
        <v>111</v>
      </c>
    </row>
    <row r="19" spans="1:20">
      <c r="A19" s="231" t="s">
        <v>126</v>
      </c>
      <c r="B19" s="114" t="s">
        <v>14</v>
      </c>
      <c r="C19" s="122">
        <v>84.56</v>
      </c>
      <c r="D19" s="122"/>
      <c r="E19" s="115">
        <v>11.33</v>
      </c>
      <c r="F19" s="115">
        <f t="shared" si="2"/>
        <v>95.89</v>
      </c>
      <c r="G19" s="117">
        <f>(5250*1.125*1.09)*F19*1.05</f>
        <v>648187.93265625008</v>
      </c>
      <c r="H19" s="118">
        <v>8</v>
      </c>
      <c r="I19" s="118" t="s">
        <v>97</v>
      </c>
      <c r="J19" s="115">
        <v>31.45</v>
      </c>
      <c r="K19" s="119">
        <f>(3000*1.09)*J19*1.05</f>
        <v>107983.57500000003</v>
      </c>
      <c r="L19" s="120">
        <f t="shared" si="0"/>
        <v>127.34</v>
      </c>
      <c r="M19" s="121">
        <f>G19+K19</f>
        <v>756171.50765625015</v>
      </c>
      <c r="N19" s="74"/>
    </row>
    <row r="20" spans="1:20">
      <c r="A20" s="77" t="s">
        <v>26</v>
      </c>
      <c r="B20" s="87" t="s">
        <v>14</v>
      </c>
      <c r="C20" s="16">
        <v>86.05</v>
      </c>
      <c r="D20" s="16"/>
      <c r="E20" s="88">
        <v>11.52</v>
      </c>
      <c r="F20" s="16">
        <f t="shared" si="2"/>
        <v>97.57</v>
      </c>
      <c r="G20" s="89">
        <f>(5260*1.125*1.09)*F20*1.05</f>
        <v>660800.50863750011</v>
      </c>
      <c r="H20" s="95">
        <v>7</v>
      </c>
      <c r="I20" s="95" t="s">
        <v>97</v>
      </c>
      <c r="J20" s="16">
        <v>30.84</v>
      </c>
      <c r="K20" s="92">
        <f>(3000*1.09)*J20*1.05</f>
        <v>105889.14000000003</v>
      </c>
      <c r="L20" s="33">
        <f t="shared" si="0"/>
        <v>128.41</v>
      </c>
      <c r="M20" s="93">
        <f t="shared" si="1"/>
        <v>766689.64863750013</v>
      </c>
    </row>
    <row r="21" spans="1:20">
      <c r="A21" s="191" t="s">
        <v>27</v>
      </c>
      <c r="B21" s="180" t="s">
        <v>14</v>
      </c>
      <c r="C21" s="186">
        <v>83.16</v>
      </c>
      <c r="D21" s="186"/>
      <c r="E21" s="181">
        <v>11.14</v>
      </c>
      <c r="F21" s="181">
        <f t="shared" si="2"/>
        <v>94.3</v>
      </c>
      <c r="G21" s="183">
        <f>(5570*1.125*1.09)*F21*1.05</f>
        <v>676293.4906875001</v>
      </c>
      <c r="H21" s="189" t="s">
        <v>53</v>
      </c>
      <c r="I21" s="189"/>
      <c r="J21" s="180">
        <v>37.96</v>
      </c>
      <c r="K21" s="185">
        <f>(3000*1.09)*J21*1.05*0.8</f>
        <v>104268.52800000003</v>
      </c>
      <c r="L21" s="186">
        <f t="shared" si="0"/>
        <v>132.26</v>
      </c>
      <c r="M21" s="128" t="s">
        <v>111</v>
      </c>
      <c r="N21" s="67"/>
      <c r="O21" s="36"/>
      <c r="P21" s="35"/>
      <c r="Q21" s="37"/>
      <c r="R21" s="35"/>
      <c r="S21" s="38"/>
      <c r="T21" s="34"/>
    </row>
    <row r="22" spans="1:20">
      <c r="A22" s="127" t="s">
        <v>28</v>
      </c>
      <c r="B22" s="180" t="s">
        <v>15</v>
      </c>
      <c r="C22" s="181">
        <v>104.68</v>
      </c>
      <c r="D22" s="181"/>
      <c r="E22" s="182">
        <v>14.03</v>
      </c>
      <c r="F22" s="181">
        <f t="shared" si="2"/>
        <v>118.71000000000001</v>
      </c>
      <c r="G22" s="183">
        <f>(5430*1.125*1.09)*F22*1.05</f>
        <v>829956.73595625022</v>
      </c>
      <c r="H22" s="189" t="s">
        <v>50</v>
      </c>
      <c r="I22" s="189"/>
      <c r="J22" s="180">
        <v>37.96</v>
      </c>
      <c r="K22" s="185">
        <f>(3000*1.09)*J22*0.8*1.05</f>
        <v>104268.52800000003</v>
      </c>
      <c r="L22" s="186">
        <f t="shared" si="0"/>
        <v>156.67000000000002</v>
      </c>
      <c r="M22" s="128" t="s">
        <v>111</v>
      </c>
    </row>
    <row r="23" spans="1:20">
      <c r="A23" s="77" t="s">
        <v>29</v>
      </c>
      <c r="B23" s="87" t="s">
        <v>14</v>
      </c>
      <c r="C23" s="16">
        <v>84.98</v>
      </c>
      <c r="D23" s="16"/>
      <c r="E23" s="94">
        <v>11.39</v>
      </c>
      <c r="F23" s="16">
        <f t="shared" si="2"/>
        <v>96.37</v>
      </c>
      <c r="G23" s="89">
        <f>(5400*1.125*1.09*1.05)*F23*1.05*1.03</f>
        <v>724653.61328981281</v>
      </c>
      <c r="H23" s="95">
        <v>5</v>
      </c>
      <c r="I23" s="96" t="s">
        <v>97</v>
      </c>
      <c r="J23" s="91">
        <v>28.13</v>
      </c>
      <c r="K23" s="92">
        <f>(3000*1.09)*J23*1.05</f>
        <v>96584.35500000001</v>
      </c>
      <c r="L23" s="33">
        <f t="shared" si="0"/>
        <v>124.5</v>
      </c>
      <c r="M23" s="93">
        <f t="shared" si="1"/>
        <v>821237.96828981279</v>
      </c>
    </row>
    <row r="24" spans="1:20" ht="15.75" customHeight="1">
      <c r="A24" s="113" t="s">
        <v>30</v>
      </c>
      <c r="B24" s="114" t="s">
        <v>15</v>
      </c>
      <c r="C24" s="115">
        <v>104.16</v>
      </c>
      <c r="D24" s="115"/>
      <c r="E24" s="116">
        <v>13.95</v>
      </c>
      <c r="F24" s="115">
        <f t="shared" si="2"/>
        <v>118.11</v>
      </c>
      <c r="G24" s="117">
        <f>(5500*1.125*1.09*1.05)*F24*1.05*1.05</f>
        <v>922138.75918828149</v>
      </c>
      <c r="H24" s="118" t="s">
        <v>51</v>
      </c>
      <c r="I24" s="118"/>
      <c r="J24" s="114">
        <v>37.96</v>
      </c>
      <c r="K24" s="119">
        <f>(3000*1.09)*J24*0.8*1.05</f>
        <v>104268.52800000003</v>
      </c>
      <c r="L24" s="120">
        <f t="shared" si="0"/>
        <v>156.07</v>
      </c>
      <c r="M24" s="121">
        <f t="shared" si="1"/>
        <v>1026407.2871882815</v>
      </c>
      <c r="N24" s="74"/>
    </row>
    <row r="25" spans="1:20">
      <c r="A25" s="86" t="s">
        <v>31</v>
      </c>
      <c r="B25" s="87" t="s">
        <v>14</v>
      </c>
      <c r="C25" s="16">
        <v>84.56</v>
      </c>
      <c r="D25" s="16"/>
      <c r="E25" s="94">
        <v>11.33</v>
      </c>
      <c r="F25" s="16">
        <f t="shared" si="2"/>
        <v>95.89</v>
      </c>
      <c r="G25" s="89">
        <f>(5500*1.125*1.09)*F25*1.05</f>
        <v>679054.0246875002</v>
      </c>
      <c r="H25" s="95">
        <v>4</v>
      </c>
      <c r="I25" s="95" t="s">
        <v>97</v>
      </c>
      <c r="J25" s="16">
        <v>28.51</v>
      </c>
      <c r="K25" s="92">
        <f>(3000*1.09)*J25*1.05</f>
        <v>97889.085000000021</v>
      </c>
      <c r="L25" s="33">
        <f t="shared" si="0"/>
        <v>124.4</v>
      </c>
      <c r="M25" s="93">
        <f t="shared" si="1"/>
        <v>776943.10968750017</v>
      </c>
      <c r="N25" s="67"/>
      <c r="O25" s="36"/>
      <c r="P25" s="35"/>
      <c r="Q25" s="37"/>
      <c r="R25" s="35"/>
      <c r="S25" s="38"/>
      <c r="T25" s="34"/>
    </row>
    <row r="26" spans="1:20">
      <c r="A26" s="129" t="s">
        <v>32</v>
      </c>
      <c r="B26" s="180" t="s">
        <v>14</v>
      </c>
      <c r="C26" s="181">
        <v>86.05</v>
      </c>
      <c r="D26" s="181"/>
      <c r="E26" s="182">
        <v>11.52</v>
      </c>
      <c r="F26" s="181">
        <f t="shared" si="2"/>
        <v>97.57</v>
      </c>
      <c r="G26" s="183">
        <f>(5500*1.125*1.09)*F26*1.05</f>
        <v>690951.1021875001</v>
      </c>
      <c r="H26" s="189">
        <v>3</v>
      </c>
      <c r="I26" s="189" t="s">
        <v>97</v>
      </c>
      <c r="J26" s="181">
        <v>28.51</v>
      </c>
      <c r="K26" s="185">
        <f>(3000*1.09)*J26*1.05</f>
        <v>97889.085000000021</v>
      </c>
      <c r="L26" s="186">
        <f t="shared" si="0"/>
        <v>126.08</v>
      </c>
      <c r="M26" s="128" t="s">
        <v>111</v>
      </c>
      <c r="N26" s="34"/>
      <c r="O26" s="34"/>
      <c r="P26" s="34"/>
      <c r="Q26" s="34"/>
      <c r="R26" s="34"/>
      <c r="S26" s="34"/>
      <c r="T26" s="34"/>
    </row>
    <row r="27" spans="1:20">
      <c r="A27" s="233" t="s">
        <v>33</v>
      </c>
      <c r="B27" s="114" t="s">
        <v>14</v>
      </c>
      <c r="C27" s="120">
        <v>83.16</v>
      </c>
      <c r="D27" s="120"/>
      <c r="E27" s="204">
        <v>11.14</v>
      </c>
      <c r="F27" s="115">
        <f t="shared" si="2"/>
        <v>94.3</v>
      </c>
      <c r="G27" s="117">
        <f>(5570*1.125*1.09)*F27*1.05</f>
        <v>676293.4906875001</v>
      </c>
      <c r="H27" s="234">
        <v>6</v>
      </c>
      <c r="I27" s="234" t="s">
        <v>97</v>
      </c>
      <c r="J27" s="125">
        <v>28.13</v>
      </c>
      <c r="K27" s="119">
        <f>(3000*1.09)*J27*1.05</f>
        <v>96584.35500000001</v>
      </c>
      <c r="L27" s="120">
        <f t="shared" si="0"/>
        <v>122.42999999999999</v>
      </c>
      <c r="M27" s="121">
        <f t="shared" si="1"/>
        <v>772877.84568750008</v>
      </c>
    </row>
    <row r="28" spans="1:20">
      <c r="A28" s="232" t="s">
        <v>118</v>
      </c>
      <c r="B28" s="87" t="s">
        <v>15</v>
      </c>
      <c r="C28" s="16">
        <v>104.68</v>
      </c>
      <c r="D28" s="16"/>
      <c r="E28" s="88">
        <v>14.03</v>
      </c>
      <c r="F28" s="16">
        <f t="shared" si="2"/>
        <v>118.71000000000001</v>
      </c>
      <c r="G28" s="89">
        <f>(5600*1.125*1.09)*F28*1.05</f>
        <v>855940.64850000024</v>
      </c>
      <c r="H28" s="203" t="s">
        <v>48</v>
      </c>
      <c r="I28" s="203"/>
      <c r="J28" s="87">
        <v>38.54</v>
      </c>
      <c r="K28" s="92">
        <f>(3000*1.09)*J28*0.8*1.05</f>
        <v>105861.67200000002</v>
      </c>
      <c r="L28" s="33">
        <f t="shared" si="0"/>
        <v>157.25</v>
      </c>
      <c r="M28" s="93">
        <f t="shared" si="1"/>
        <v>961802.32050000026</v>
      </c>
    </row>
    <row r="29" spans="1:20">
      <c r="A29" s="161" t="s">
        <v>34</v>
      </c>
      <c r="B29" s="114" t="s">
        <v>14</v>
      </c>
      <c r="C29" s="122">
        <v>84.98</v>
      </c>
      <c r="D29" s="122"/>
      <c r="E29" s="123">
        <v>11.39</v>
      </c>
      <c r="F29" s="115">
        <f t="shared" si="2"/>
        <v>96.37</v>
      </c>
      <c r="G29" s="117">
        <f>(5550*1.125*1.09*1.05)*F29*1.05*1.03</f>
        <v>744782.8803256409</v>
      </c>
      <c r="H29" s="118" t="s">
        <v>58</v>
      </c>
      <c r="I29" s="234"/>
      <c r="J29" s="120">
        <v>39.86</v>
      </c>
      <c r="K29" s="119">
        <f>(3000*1.09)*J29*0.8*1.05</f>
        <v>109487.44800000002</v>
      </c>
      <c r="L29" s="120">
        <f t="shared" si="0"/>
        <v>136.23000000000002</v>
      </c>
      <c r="M29" s="121">
        <f t="shared" si="1"/>
        <v>854270.32832564088</v>
      </c>
    </row>
    <row r="30" spans="1:20" ht="15" customHeight="1">
      <c r="A30" s="113" t="s">
        <v>35</v>
      </c>
      <c r="B30" s="114" t="s">
        <v>15</v>
      </c>
      <c r="C30" s="115">
        <v>104.16</v>
      </c>
      <c r="D30" s="115"/>
      <c r="E30" s="116">
        <v>13.95</v>
      </c>
      <c r="F30" s="115">
        <f>C30+D30+E30</f>
        <v>118.11</v>
      </c>
      <c r="G30" s="117">
        <f>(5700*1.125*1.09*1.05)*F30*1.05*1.05</f>
        <v>955671.07770421903</v>
      </c>
      <c r="H30" s="118" t="s">
        <v>55</v>
      </c>
      <c r="I30" s="118"/>
      <c r="J30" s="114">
        <v>37.96</v>
      </c>
      <c r="K30" s="119">
        <f>(3000*1.09)*J30*0.8*1.05</f>
        <v>104268.52800000003</v>
      </c>
      <c r="L30" s="120">
        <f t="shared" si="0"/>
        <v>156.07</v>
      </c>
      <c r="M30" s="121">
        <f t="shared" si="1"/>
        <v>1059939.6057042191</v>
      </c>
    </row>
    <row r="31" spans="1:20">
      <c r="A31" s="127" t="s">
        <v>36</v>
      </c>
      <c r="B31" s="180" t="s">
        <v>14</v>
      </c>
      <c r="C31" s="181">
        <v>84.56</v>
      </c>
      <c r="D31" s="181"/>
      <c r="E31" s="192">
        <v>11.33</v>
      </c>
      <c r="F31" s="181">
        <f t="shared" si="2"/>
        <v>95.89</v>
      </c>
      <c r="G31" s="183">
        <f>(5660*1.125*1.09)*F31*1.05</f>
        <v>698808.32358750002</v>
      </c>
      <c r="H31" s="184" t="s">
        <v>52</v>
      </c>
      <c r="I31" s="184"/>
      <c r="J31" s="190">
        <v>38.94</v>
      </c>
      <c r="K31" s="185">
        <f>(3000*1.09)*J31*0.8*1.05</f>
        <v>106960.39200000002</v>
      </c>
      <c r="L31" s="186">
        <f t="shared" si="0"/>
        <v>134.82999999999998</v>
      </c>
      <c r="M31" s="128" t="s">
        <v>111</v>
      </c>
    </row>
    <row r="32" spans="1:20" ht="15" customHeight="1">
      <c r="A32" s="77" t="s">
        <v>11</v>
      </c>
      <c r="B32" s="87" t="s">
        <v>15</v>
      </c>
      <c r="C32" s="16">
        <v>135.32</v>
      </c>
      <c r="D32" s="16"/>
      <c r="E32" s="88">
        <v>18.12</v>
      </c>
      <c r="F32" s="16">
        <f t="shared" si="2"/>
        <v>153.44</v>
      </c>
      <c r="G32" s="89">
        <f>(5750*1.125*1.09*1.03)*F32*1.05</f>
        <v>1170070.3617750003</v>
      </c>
      <c r="H32" s="97" t="s">
        <v>59</v>
      </c>
      <c r="I32" s="97" t="s">
        <v>97</v>
      </c>
      <c r="J32" s="16">
        <v>52.66</v>
      </c>
      <c r="K32" s="92">
        <f>(3000*1.09)*J32*1.05</f>
        <v>180808.11000000002</v>
      </c>
      <c r="L32" s="33">
        <f t="shared" si="0"/>
        <v>206.1</v>
      </c>
      <c r="M32" s="93">
        <f t="shared" si="1"/>
        <v>1350878.4717750004</v>
      </c>
    </row>
    <row r="33" spans="1:20" ht="15" customHeight="1">
      <c r="A33" s="77" t="s">
        <v>5</v>
      </c>
      <c r="B33" s="87" t="s">
        <v>14</v>
      </c>
      <c r="C33" s="33">
        <v>84.98</v>
      </c>
      <c r="D33" s="33"/>
      <c r="E33" s="94">
        <v>11.39</v>
      </c>
      <c r="F33" s="16">
        <f t="shared" si="2"/>
        <v>96.37</v>
      </c>
      <c r="G33" s="89">
        <f>(5700*1.125*1.09*1.05)*F33*1.05*1.03</f>
        <v>764912.14736146899</v>
      </c>
      <c r="H33" s="90" t="s">
        <v>57</v>
      </c>
      <c r="I33" s="90"/>
      <c r="J33" s="16">
        <v>39.86</v>
      </c>
      <c r="K33" s="92">
        <f>(3000*1.09)*J33*0.8*1.05</f>
        <v>109487.44800000002</v>
      </c>
      <c r="L33" s="33">
        <f t="shared" si="0"/>
        <v>136.23000000000002</v>
      </c>
      <c r="M33" s="93">
        <f t="shared" si="1"/>
        <v>874399.59536146896</v>
      </c>
    </row>
    <row r="34" spans="1:20">
      <c r="A34" s="129" t="s">
        <v>9</v>
      </c>
      <c r="B34" s="193" t="s">
        <v>15</v>
      </c>
      <c r="C34" s="181">
        <v>135.38999999999999</v>
      </c>
      <c r="D34" s="181"/>
      <c r="E34" s="192">
        <v>18.13</v>
      </c>
      <c r="F34" s="181">
        <f t="shared" si="2"/>
        <v>153.51999999999998</v>
      </c>
      <c r="G34" s="183">
        <f>(5750*1.125*1.09*1.03)*F34*1.05</f>
        <v>1170680.4088874999</v>
      </c>
      <c r="H34" s="189" t="s">
        <v>54</v>
      </c>
      <c r="I34" s="189" t="s">
        <v>97</v>
      </c>
      <c r="J34" s="181">
        <v>44.4</v>
      </c>
      <c r="K34" s="185">
        <f>(3000*1.09)*J34*0.8*1.05</f>
        <v>121957.92000000003</v>
      </c>
      <c r="L34" s="186">
        <f t="shared" si="0"/>
        <v>197.92</v>
      </c>
      <c r="M34" s="128" t="s">
        <v>111</v>
      </c>
    </row>
    <row r="35" spans="1:20">
      <c r="A35" s="31" t="s">
        <v>25</v>
      </c>
      <c r="B35" s="19"/>
      <c r="C35" s="22">
        <f>SUM(C14:C34)</f>
        <v>1998.46</v>
      </c>
      <c r="D35" s="20"/>
      <c r="E35" s="22">
        <f>SUM(E14:E34)</f>
        <v>274.21000000000004</v>
      </c>
      <c r="F35" s="20">
        <f>SUM(F14:F34)</f>
        <v>2434.0199999999995</v>
      </c>
      <c r="G35" s="22"/>
      <c r="H35" s="21"/>
      <c r="I35" s="19"/>
      <c r="J35" s="22">
        <f>SUM(J14:J34)</f>
        <v>777.69999999999993</v>
      </c>
      <c r="K35" s="22"/>
      <c r="L35" s="22">
        <f>SUM(L14:L34)</f>
        <v>3211.7200000000003</v>
      </c>
      <c r="M35" s="44">
        <f>SUM(M14:M34)</f>
        <v>11516708.868781924</v>
      </c>
      <c r="N35" s="66"/>
    </row>
    <row r="37" spans="1:20">
      <c r="B37" s="5"/>
      <c r="C37" s="5"/>
      <c r="D37" s="64" t="s">
        <v>91</v>
      </c>
      <c r="E37" s="63" t="s">
        <v>4</v>
      </c>
      <c r="F37" s="64" t="s">
        <v>91</v>
      </c>
      <c r="G37" s="81"/>
      <c r="H37" s="6"/>
      <c r="I37" s="7"/>
      <c r="J37" s="4"/>
      <c r="K37" s="4"/>
      <c r="L37" s="7"/>
      <c r="M37" s="5"/>
    </row>
    <row r="38" spans="1:20">
      <c r="A38" s="60" t="s">
        <v>12</v>
      </c>
      <c r="B38" s="61" t="s">
        <v>13</v>
      </c>
      <c r="C38" s="61" t="s">
        <v>0</v>
      </c>
      <c r="D38" s="61" t="s">
        <v>90</v>
      </c>
      <c r="E38" s="60" t="s">
        <v>1</v>
      </c>
      <c r="F38" s="64" t="s">
        <v>89</v>
      </c>
      <c r="G38" s="82" t="s">
        <v>100</v>
      </c>
      <c r="H38" s="62" t="s">
        <v>6</v>
      </c>
      <c r="I38" s="62"/>
      <c r="J38" s="60" t="s">
        <v>2</v>
      </c>
      <c r="K38" s="60" t="s">
        <v>101</v>
      </c>
      <c r="L38" s="61" t="s">
        <v>71</v>
      </c>
      <c r="M38" s="61" t="s">
        <v>68</v>
      </c>
      <c r="N38" s="34"/>
      <c r="O38" s="34"/>
      <c r="P38" s="34"/>
      <c r="Q38" s="34"/>
      <c r="R38" s="34"/>
      <c r="S38" s="34"/>
      <c r="T38" s="34"/>
    </row>
    <row r="39" spans="1:20">
      <c r="A39" s="113" t="s">
        <v>16</v>
      </c>
      <c r="B39" s="114" t="s">
        <v>14</v>
      </c>
      <c r="C39" s="115">
        <v>86.05</v>
      </c>
      <c r="D39" s="115"/>
      <c r="E39" s="116">
        <v>11.52</v>
      </c>
      <c r="F39" s="115">
        <f>C39+E39</f>
        <v>97.57</v>
      </c>
      <c r="G39" s="117">
        <f>(5150*1.125*1.09)*F39*1.05</f>
        <v>646981.48659375019</v>
      </c>
      <c r="H39" s="118">
        <v>39</v>
      </c>
      <c r="I39" s="118"/>
      <c r="J39" s="114">
        <v>19.98</v>
      </c>
      <c r="K39" s="119">
        <f>(3000*1.09)*J39*1.05</f>
        <v>68601.330000000016</v>
      </c>
      <c r="L39" s="120">
        <f t="shared" ref="L39:M61" si="3">F39+J39</f>
        <v>117.55</v>
      </c>
      <c r="M39" s="121">
        <f>G39+K39</f>
        <v>715582.81659375015</v>
      </c>
      <c r="N39" s="34"/>
      <c r="O39" s="34"/>
      <c r="P39" s="34"/>
      <c r="Q39" s="34"/>
      <c r="R39" s="34"/>
      <c r="S39" s="34"/>
      <c r="T39" s="34"/>
    </row>
    <row r="40" spans="1:20">
      <c r="A40" s="13" t="s">
        <v>17</v>
      </c>
      <c r="B40" s="9" t="s">
        <v>14</v>
      </c>
      <c r="C40" s="10">
        <v>84.56</v>
      </c>
      <c r="D40" s="10"/>
      <c r="E40" s="11">
        <v>11.33</v>
      </c>
      <c r="F40" s="14">
        <f>C40+E40</f>
        <v>95.89</v>
      </c>
      <c r="G40" s="84">
        <f>(5380*1.125*1.09)*F40*1.05</f>
        <v>664238.30051250011</v>
      </c>
      <c r="H40" s="29">
        <v>38</v>
      </c>
      <c r="I40" s="29"/>
      <c r="J40" s="12">
        <v>19.98</v>
      </c>
      <c r="K40" s="85">
        <f>(3000*1.09)*J40*1.05</f>
        <v>68601.330000000016</v>
      </c>
      <c r="L40" s="33">
        <f t="shared" si="3"/>
        <v>115.87</v>
      </c>
      <c r="M40" s="42">
        <f t="shared" si="3"/>
        <v>732839.63051250018</v>
      </c>
      <c r="N40" s="36"/>
      <c r="O40" s="35"/>
      <c r="P40" s="37"/>
      <c r="Q40" s="35"/>
      <c r="R40" s="38"/>
      <c r="S40" s="34"/>
      <c r="T40" s="34"/>
    </row>
    <row r="41" spans="1:20">
      <c r="A41" s="127" t="s">
        <v>18</v>
      </c>
      <c r="B41" s="180" t="s">
        <v>15</v>
      </c>
      <c r="C41" s="181">
        <v>104.16</v>
      </c>
      <c r="D41" s="181">
        <v>56.07</v>
      </c>
      <c r="E41" s="182">
        <v>16.190000000000001</v>
      </c>
      <c r="F41" s="181">
        <f>C41+D41+E41</f>
        <v>176.42</v>
      </c>
      <c r="G41" s="183">
        <f>(5350*1.125*1.09*1.07)*(F41-D41/1.7)*1.05*1.05</f>
        <v>1110090.3585796657</v>
      </c>
      <c r="H41" s="194" t="s">
        <v>61</v>
      </c>
      <c r="I41" s="194" t="s">
        <v>97</v>
      </c>
      <c r="J41" s="181">
        <v>57.02</v>
      </c>
      <c r="K41" s="185">
        <f>(3000*1.09)*J41*1.05</f>
        <v>195778.17000000004</v>
      </c>
      <c r="L41" s="186">
        <f t="shared" si="3"/>
        <v>233.44</v>
      </c>
      <c r="M41" s="128" t="s">
        <v>120</v>
      </c>
      <c r="N41" s="34"/>
      <c r="O41" s="34"/>
      <c r="P41" s="34"/>
      <c r="Q41" s="34"/>
      <c r="R41" s="34"/>
      <c r="S41" s="34"/>
      <c r="T41" s="34"/>
    </row>
    <row r="42" spans="1:20" ht="15.75" customHeight="1">
      <c r="A42" s="113" t="s">
        <v>19</v>
      </c>
      <c r="B42" s="114" t="s">
        <v>14</v>
      </c>
      <c r="C42" s="122">
        <v>84.98</v>
      </c>
      <c r="D42" s="122">
        <v>40</v>
      </c>
      <c r="E42" s="123">
        <v>11.39</v>
      </c>
      <c r="F42" s="115">
        <f t="shared" ref="F42:F61" si="4">C42+D42+E42</f>
        <v>136.37</v>
      </c>
      <c r="G42" s="119">
        <f>(5350*1.125*1.09*1.07)*(F42-D42/2.5)*1.05*1.04</f>
        <v>922693.53780922526</v>
      </c>
      <c r="H42" s="124">
        <v>37</v>
      </c>
      <c r="I42" s="124"/>
      <c r="J42" s="125">
        <v>19.98</v>
      </c>
      <c r="K42" s="119">
        <f>(3000*1.09)*J42*1.05</f>
        <v>68601.330000000016</v>
      </c>
      <c r="L42" s="120">
        <f t="shared" si="3"/>
        <v>156.35</v>
      </c>
      <c r="M42" s="126">
        <f t="shared" si="3"/>
        <v>991294.86780922534</v>
      </c>
      <c r="N42" s="34"/>
      <c r="O42" s="34"/>
      <c r="P42" s="34"/>
      <c r="Q42" s="34"/>
      <c r="R42" s="34"/>
      <c r="S42" s="34"/>
      <c r="T42" s="34"/>
    </row>
    <row r="43" spans="1:20" ht="6.75" hidden="1" customHeight="1">
      <c r="A43" s="147" t="s">
        <v>20</v>
      </c>
      <c r="B43" s="148" t="s">
        <v>15</v>
      </c>
      <c r="C43" s="151"/>
      <c r="D43" s="151"/>
      <c r="E43" s="157"/>
      <c r="F43" s="151">
        <f t="shared" si="4"/>
        <v>0</v>
      </c>
      <c r="G43" s="152">
        <f t="shared" ref="G43:G44" si="5">(5350*1.125*1.09*1.07)*(F43-D43/2.5)</f>
        <v>0</v>
      </c>
      <c r="H43" s="158">
        <v>37</v>
      </c>
      <c r="I43" s="158"/>
      <c r="J43" s="148"/>
      <c r="K43" s="152">
        <f t="shared" ref="K43:K44" si="6">(3000*1.09)*J43</f>
        <v>0</v>
      </c>
      <c r="L43" s="155">
        <f t="shared" si="3"/>
        <v>0</v>
      </c>
      <c r="M43" s="159">
        <f t="shared" si="3"/>
        <v>0</v>
      </c>
      <c r="N43" s="34"/>
      <c r="O43" s="34"/>
      <c r="P43" s="34"/>
      <c r="Q43" s="34"/>
      <c r="R43" s="34"/>
      <c r="S43" s="34"/>
      <c r="T43" s="34"/>
    </row>
    <row r="44" spans="1:20" hidden="1">
      <c r="A44" s="160" t="s">
        <v>21</v>
      </c>
      <c r="B44" s="148" t="s">
        <v>14</v>
      </c>
      <c r="C44" s="149"/>
      <c r="D44" s="149"/>
      <c r="E44" s="150"/>
      <c r="F44" s="151">
        <f t="shared" si="4"/>
        <v>0</v>
      </c>
      <c r="G44" s="152">
        <f t="shared" si="5"/>
        <v>0</v>
      </c>
      <c r="H44" s="153" t="s">
        <v>61</v>
      </c>
      <c r="I44" s="153"/>
      <c r="J44" s="154"/>
      <c r="K44" s="152">
        <f t="shared" si="6"/>
        <v>0</v>
      </c>
      <c r="L44" s="155">
        <f t="shared" si="3"/>
        <v>0</v>
      </c>
      <c r="M44" s="156">
        <f t="shared" si="3"/>
        <v>0</v>
      </c>
      <c r="N44" s="34"/>
      <c r="O44" s="34"/>
      <c r="P44" s="34"/>
      <c r="Q44" s="34"/>
      <c r="R44" s="34"/>
      <c r="S44" s="34"/>
      <c r="T44" s="34"/>
    </row>
    <row r="45" spans="1:20" ht="15" customHeight="1">
      <c r="A45" s="86" t="s">
        <v>20</v>
      </c>
      <c r="B45" s="87" t="s">
        <v>15</v>
      </c>
      <c r="C45" s="16">
        <v>104.68</v>
      </c>
      <c r="D45" s="16">
        <v>28</v>
      </c>
      <c r="E45" s="88">
        <v>14.03</v>
      </c>
      <c r="F45" s="16">
        <f t="shared" si="4"/>
        <v>146.71</v>
      </c>
      <c r="G45" s="92">
        <f>(5350*1.125*1.09*1.07)*(F45-D45/2.5)*1.05</f>
        <v>998796.98899968783</v>
      </c>
      <c r="H45" s="171" t="s">
        <v>121</v>
      </c>
      <c r="I45" s="171" t="s">
        <v>97</v>
      </c>
      <c r="J45" s="16">
        <v>38</v>
      </c>
      <c r="K45" s="92">
        <f t="shared" ref="K45:K52" si="7">(3000*1.09)*J45*1.05</f>
        <v>130473.00000000001</v>
      </c>
      <c r="L45" s="33">
        <f t="shared" si="3"/>
        <v>184.71</v>
      </c>
      <c r="M45" s="93">
        <f>G45+K45</f>
        <v>1129269.9889996878</v>
      </c>
      <c r="N45" s="34"/>
      <c r="O45" s="34"/>
      <c r="P45" s="34"/>
      <c r="Q45" s="34"/>
      <c r="R45" s="34"/>
      <c r="S45" s="34"/>
      <c r="T45" s="34"/>
    </row>
    <row r="46" spans="1:20" ht="15.75" customHeight="1">
      <c r="A46" s="113" t="s">
        <v>21</v>
      </c>
      <c r="B46" s="114" t="s">
        <v>14</v>
      </c>
      <c r="C46" s="122">
        <v>83.16</v>
      </c>
      <c r="D46" s="122" t="s">
        <v>72</v>
      </c>
      <c r="E46" s="123">
        <v>11.14</v>
      </c>
      <c r="F46" s="115">
        <v>94.3</v>
      </c>
      <c r="G46" s="119">
        <f>(5570*1.125*1.09)*F46*1.05</f>
        <v>676293.4906875001</v>
      </c>
      <c r="H46" s="124">
        <v>56</v>
      </c>
      <c r="I46" s="124"/>
      <c r="J46" s="125">
        <v>19.95</v>
      </c>
      <c r="K46" s="119">
        <f t="shared" si="7"/>
        <v>68498.325000000012</v>
      </c>
      <c r="L46" s="120">
        <f t="shared" si="3"/>
        <v>114.25</v>
      </c>
      <c r="M46" s="126">
        <f t="shared" si="3"/>
        <v>744791.81568750017</v>
      </c>
      <c r="N46" s="34"/>
      <c r="O46" s="34"/>
      <c r="P46" s="34"/>
      <c r="Q46" s="34"/>
      <c r="R46" s="34"/>
      <c r="S46" s="34"/>
      <c r="T46" s="34"/>
    </row>
    <row r="47" spans="1:20">
      <c r="A47" s="8" t="s">
        <v>37</v>
      </c>
      <c r="B47" s="17" t="s">
        <v>14</v>
      </c>
      <c r="C47" s="14">
        <v>86.05</v>
      </c>
      <c r="D47" s="14"/>
      <c r="E47" s="15">
        <v>11.52</v>
      </c>
      <c r="F47" s="14">
        <f t="shared" si="4"/>
        <v>97.57</v>
      </c>
      <c r="G47" s="84">
        <f>(5430*1.125*1.09)*F47*1.05</f>
        <v>682157.17906875</v>
      </c>
      <c r="H47" s="29">
        <v>64</v>
      </c>
      <c r="I47" s="29"/>
      <c r="J47" s="14">
        <v>29.45</v>
      </c>
      <c r="K47" s="85">
        <f t="shared" si="7"/>
        <v>101116.57500000003</v>
      </c>
      <c r="L47" s="33">
        <f t="shared" si="3"/>
        <v>127.02</v>
      </c>
      <c r="M47" s="42">
        <f t="shared" si="3"/>
        <v>783273.75406875007</v>
      </c>
      <c r="N47" s="36"/>
      <c r="O47" s="35"/>
      <c r="P47" s="37"/>
      <c r="Q47" s="35"/>
      <c r="R47" s="38"/>
      <c r="S47" s="34"/>
      <c r="T47" s="34"/>
    </row>
    <row r="48" spans="1:20">
      <c r="A48" s="127" t="s">
        <v>38</v>
      </c>
      <c r="B48" s="180" t="s">
        <v>14</v>
      </c>
      <c r="C48" s="187">
        <v>84.56</v>
      </c>
      <c r="D48" s="187"/>
      <c r="E48" s="188">
        <v>11.33</v>
      </c>
      <c r="F48" s="181">
        <f t="shared" si="4"/>
        <v>95.89</v>
      </c>
      <c r="G48" s="185">
        <f>(5400*1.125*1.09)*F48*1.05</f>
        <v>666707.58787500008</v>
      </c>
      <c r="H48" s="184">
        <v>63</v>
      </c>
      <c r="I48" s="184"/>
      <c r="J48" s="186">
        <v>19.46</v>
      </c>
      <c r="K48" s="185">
        <f t="shared" si="7"/>
        <v>66815.910000000018</v>
      </c>
      <c r="L48" s="186">
        <f t="shared" si="3"/>
        <v>115.35</v>
      </c>
      <c r="M48" s="195" t="s">
        <v>111</v>
      </c>
      <c r="N48" s="34"/>
      <c r="O48" s="34"/>
      <c r="P48" s="34"/>
      <c r="Q48" s="34"/>
      <c r="R48" s="34"/>
      <c r="S48" s="34"/>
      <c r="T48" s="34"/>
    </row>
    <row r="49" spans="1:28">
      <c r="A49" s="8" t="s">
        <v>39</v>
      </c>
      <c r="B49" s="12" t="s">
        <v>15</v>
      </c>
      <c r="C49" s="14">
        <v>104.16</v>
      </c>
      <c r="D49" s="14"/>
      <c r="E49" s="15">
        <v>13.95</v>
      </c>
      <c r="F49" s="14">
        <f t="shared" si="4"/>
        <v>118.11</v>
      </c>
      <c r="G49" s="85">
        <f>(5500*1.125*1.09*1.07)*F49*1.05*1.05</f>
        <v>939703.30698234402</v>
      </c>
      <c r="H49" s="68" t="s">
        <v>62</v>
      </c>
      <c r="I49" s="68" t="s">
        <v>97</v>
      </c>
      <c r="J49" s="12">
        <v>56.26</v>
      </c>
      <c r="K49" s="85">
        <f t="shared" si="7"/>
        <v>193168.71000000002</v>
      </c>
      <c r="L49" s="33">
        <f t="shared" si="3"/>
        <v>174.37</v>
      </c>
      <c r="M49" s="42">
        <f t="shared" si="3"/>
        <v>1132872.016982344</v>
      </c>
      <c r="N49" s="34"/>
      <c r="O49" s="34"/>
      <c r="P49" s="34"/>
      <c r="Q49" s="34"/>
      <c r="R49" s="34"/>
      <c r="S49" s="34"/>
      <c r="T49" s="34"/>
    </row>
    <row r="50" spans="1:28" ht="15.75" customHeight="1">
      <c r="A50" s="161" t="s">
        <v>40</v>
      </c>
      <c r="B50" s="114" t="s">
        <v>14</v>
      </c>
      <c r="C50" s="122">
        <v>84.98</v>
      </c>
      <c r="D50" s="122"/>
      <c r="E50" s="123">
        <v>11.39</v>
      </c>
      <c r="F50" s="115">
        <f t="shared" si="4"/>
        <v>96.37</v>
      </c>
      <c r="G50" s="119">
        <f>(5500*1.125*1.09*1.05)*F50*1.05*1.04</f>
        <v>745238.88313875021</v>
      </c>
      <c r="H50" s="124">
        <v>62</v>
      </c>
      <c r="I50" s="124"/>
      <c r="J50" s="125">
        <v>19.95</v>
      </c>
      <c r="K50" s="119">
        <f t="shared" si="7"/>
        <v>68498.325000000012</v>
      </c>
      <c r="L50" s="120">
        <f t="shared" si="3"/>
        <v>116.32000000000001</v>
      </c>
      <c r="M50" s="126">
        <f t="shared" si="3"/>
        <v>813737.20813875017</v>
      </c>
      <c r="N50" s="34"/>
      <c r="O50" s="34"/>
      <c r="P50" s="34"/>
      <c r="Q50" s="34"/>
      <c r="R50" s="34"/>
      <c r="S50" s="34"/>
      <c r="T50" s="34"/>
    </row>
    <row r="51" spans="1:28">
      <c r="A51" s="113" t="s">
        <v>128</v>
      </c>
      <c r="B51" s="114" t="s">
        <v>15</v>
      </c>
      <c r="C51" s="115">
        <v>104.68</v>
      </c>
      <c r="D51" s="115"/>
      <c r="E51" s="116">
        <v>14.03</v>
      </c>
      <c r="F51" s="115">
        <f t="shared" si="4"/>
        <v>118.71000000000001</v>
      </c>
      <c r="G51" s="119">
        <f>(5500*1.125*1.09*1.07)*F51*1.05*1.05</f>
        <v>944477.00932921912</v>
      </c>
      <c r="H51" s="124" t="s">
        <v>63</v>
      </c>
      <c r="I51" s="124" t="s">
        <v>97</v>
      </c>
      <c r="J51" s="114">
        <v>65.569999999999993</v>
      </c>
      <c r="K51" s="119">
        <f t="shared" si="7"/>
        <v>225134.595</v>
      </c>
      <c r="L51" s="120">
        <f t="shared" si="3"/>
        <v>184.28</v>
      </c>
      <c r="M51" s="121">
        <f t="shared" si="3"/>
        <v>1169611.6043292191</v>
      </c>
      <c r="N51" s="67"/>
      <c r="O51" s="35"/>
      <c r="P51" s="37"/>
      <c r="Q51" s="35"/>
      <c r="R51" s="38"/>
      <c r="S51" s="34"/>
      <c r="T51" s="34"/>
    </row>
    <row r="52" spans="1:28">
      <c r="A52" s="127" t="s">
        <v>41</v>
      </c>
      <c r="B52" s="180" t="s">
        <v>14</v>
      </c>
      <c r="C52" s="181">
        <v>83.16</v>
      </c>
      <c r="D52" s="181"/>
      <c r="E52" s="188">
        <v>11.14</v>
      </c>
      <c r="F52" s="181">
        <f t="shared" si="4"/>
        <v>94.3</v>
      </c>
      <c r="G52" s="183">
        <f>(5570*1.125*1.09)*F52*1.05</f>
        <v>676293.4906875001</v>
      </c>
      <c r="H52" s="189">
        <v>61</v>
      </c>
      <c r="I52" s="184"/>
      <c r="J52" s="190">
        <v>19.95</v>
      </c>
      <c r="K52" s="185">
        <f t="shared" si="7"/>
        <v>68498.325000000012</v>
      </c>
      <c r="L52" s="186">
        <f t="shared" si="3"/>
        <v>114.25</v>
      </c>
      <c r="M52" s="128" t="s">
        <v>111</v>
      </c>
      <c r="N52" s="34"/>
      <c r="O52" s="34"/>
      <c r="P52" s="34"/>
      <c r="Q52" s="34"/>
      <c r="R52" s="34"/>
      <c r="S52" s="34"/>
      <c r="T52" s="34"/>
    </row>
    <row r="53" spans="1:28">
      <c r="A53" s="127" t="s">
        <v>42</v>
      </c>
      <c r="B53" s="190" t="s">
        <v>14</v>
      </c>
      <c r="C53" s="181">
        <v>86.05</v>
      </c>
      <c r="D53" s="181"/>
      <c r="E53" s="182">
        <v>11.52</v>
      </c>
      <c r="F53" s="181">
        <f t="shared" si="4"/>
        <v>97.57</v>
      </c>
      <c r="G53" s="185">
        <f>(5600*1.125*1.09)*F53*1.05</f>
        <v>703513.84950000013</v>
      </c>
      <c r="H53" s="184">
        <v>53</v>
      </c>
      <c r="I53" s="184"/>
      <c r="J53" s="181">
        <v>26.35</v>
      </c>
      <c r="K53" s="185">
        <f>(3000*1.09)*J53*1.05</f>
        <v>90472.72500000002</v>
      </c>
      <c r="L53" s="186">
        <f t="shared" si="3"/>
        <v>123.91999999999999</v>
      </c>
      <c r="M53" s="128" t="s">
        <v>120</v>
      </c>
      <c r="N53" s="34"/>
      <c r="O53" s="34"/>
      <c r="P53" s="34"/>
      <c r="Q53" s="34"/>
      <c r="R53" s="34"/>
      <c r="S53" s="34"/>
      <c r="T53" s="34"/>
    </row>
    <row r="54" spans="1:28">
      <c r="A54" s="8" t="s">
        <v>43</v>
      </c>
      <c r="B54" s="12" t="s">
        <v>14</v>
      </c>
      <c r="C54" s="10">
        <v>84.56</v>
      </c>
      <c r="D54" s="10"/>
      <c r="E54" s="11">
        <v>11.33</v>
      </c>
      <c r="F54" s="14">
        <f t="shared" si="4"/>
        <v>95.89</v>
      </c>
      <c r="G54" s="84">
        <f>(5550*1.125*1.09)*F54*1.05</f>
        <v>685227.24309375021</v>
      </c>
      <c r="H54" s="29">
        <v>58</v>
      </c>
      <c r="I54" s="30"/>
      <c r="J54" s="18">
        <v>19</v>
      </c>
      <c r="K54" s="85">
        <f t="shared" ref="K54:K61" si="8">(3000*1.09)*J54*1.05</f>
        <v>65236.500000000007</v>
      </c>
      <c r="L54" s="33">
        <f t="shared" si="3"/>
        <v>114.89</v>
      </c>
      <c r="M54" s="43">
        <f t="shared" si="3"/>
        <v>750463.74309375021</v>
      </c>
      <c r="N54" s="34"/>
      <c r="O54" s="34"/>
      <c r="P54" s="34"/>
      <c r="Q54" s="34"/>
      <c r="R54" s="34"/>
      <c r="S54" s="34"/>
      <c r="T54" s="34"/>
    </row>
    <row r="55" spans="1:28">
      <c r="A55" s="127" t="s">
        <v>44</v>
      </c>
      <c r="B55" s="180" t="s">
        <v>15</v>
      </c>
      <c r="C55" s="181">
        <v>104.16</v>
      </c>
      <c r="D55" s="181"/>
      <c r="E55" s="182">
        <v>13.95</v>
      </c>
      <c r="F55" s="181">
        <f t="shared" si="4"/>
        <v>118.11</v>
      </c>
      <c r="G55" s="185">
        <f>(5700*1.125*1.09*1.07)*F55*1.05*1.05</f>
        <v>973874.3363271564</v>
      </c>
      <c r="H55" s="196" t="s">
        <v>64</v>
      </c>
      <c r="I55" s="196" t="s">
        <v>97</v>
      </c>
      <c r="J55" s="181">
        <v>55.47</v>
      </c>
      <c r="K55" s="185">
        <f t="shared" si="8"/>
        <v>190456.24500000002</v>
      </c>
      <c r="L55" s="186">
        <f t="shared" si="3"/>
        <v>173.57999999999998</v>
      </c>
      <c r="M55" s="128" t="s">
        <v>111</v>
      </c>
      <c r="N55" s="34"/>
      <c r="O55" s="34"/>
      <c r="P55" s="34"/>
      <c r="Q55" s="34"/>
      <c r="R55" s="34"/>
      <c r="S55" s="34"/>
      <c r="T55" s="34"/>
    </row>
    <row r="56" spans="1:28">
      <c r="A56" s="235" t="s">
        <v>127</v>
      </c>
      <c r="B56" s="236" t="s">
        <v>14</v>
      </c>
      <c r="C56" s="237">
        <v>84.98</v>
      </c>
      <c r="D56" s="237"/>
      <c r="E56" s="238">
        <v>11.39</v>
      </c>
      <c r="F56" s="239">
        <f t="shared" si="4"/>
        <v>96.37</v>
      </c>
      <c r="G56" s="240">
        <f>(5660*1.125*1.09*1.05)*F56*1.05*1.04</f>
        <v>766918.55973915022</v>
      </c>
      <c r="H56" s="241">
        <v>47</v>
      </c>
      <c r="I56" s="241"/>
      <c r="J56" s="239">
        <v>31.45</v>
      </c>
      <c r="K56" s="240">
        <f t="shared" si="8"/>
        <v>107983.57500000003</v>
      </c>
      <c r="L56" s="242">
        <f t="shared" si="3"/>
        <v>127.82000000000001</v>
      </c>
      <c r="M56" s="243">
        <f t="shared" si="3"/>
        <v>874902.13473915029</v>
      </c>
    </row>
    <row r="57" spans="1:28">
      <c r="A57" s="244" t="s">
        <v>45</v>
      </c>
      <c r="B57" s="236" t="s">
        <v>15</v>
      </c>
      <c r="C57" s="239">
        <v>104.68</v>
      </c>
      <c r="D57" s="239"/>
      <c r="E57" s="245">
        <v>14.03</v>
      </c>
      <c r="F57" s="239">
        <f t="shared" si="4"/>
        <v>118.71000000000001</v>
      </c>
      <c r="G57" s="240">
        <f>(5750*1.125*1.09*1.07)*F57*1.05*1.05</f>
        <v>987407.7824805472</v>
      </c>
      <c r="H57" s="241" t="s">
        <v>65</v>
      </c>
      <c r="I57" s="241" t="s">
        <v>97</v>
      </c>
      <c r="J57" s="239">
        <v>59.75</v>
      </c>
      <c r="K57" s="240">
        <f t="shared" si="8"/>
        <v>205151.62500000003</v>
      </c>
      <c r="L57" s="242">
        <f t="shared" si="3"/>
        <v>178.46</v>
      </c>
      <c r="M57" s="246">
        <f t="shared" si="3"/>
        <v>1192559.4074805472</v>
      </c>
    </row>
    <row r="58" spans="1:28" ht="16.5" customHeight="1">
      <c r="A58" s="127" t="s">
        <v>46</v>
      </c>
      <c r="B58" s="180" t="s">
        <v>14</v>
      </c>
      <c r="C58" s="181">
        <v>83.16</v>
      </c>
      <c r="D58" s="181"/>
      <c r="E58" s="188">
        <v>11.14</v>
      </c>
      <c r="F58" s="181">
        <f t="shared" si="4"/>
        <v>94.3</v>
      </c>
      <c r="G58" s="183">
        <f>(5600*1.125*1.09)*F58*1.05</f>
        <v>679936.00500000012</v>
      </c>
      <c r="H58" s="194">
        <v>57</v>
      </c>
      <c r="I58" s="196"/>
      <c r="J58" s="186">
        <v>19</v>
      </c>
      <c r="K58" s="185">
        <f t="shared" si="8"/>
        <v>65236.500000000007</v>
      </c>
      <c r="L58" s="186">
        <f t="shared" si="3"/>
        <v>113.3</v>
      </c>
      <c r="M58" s="195" t="s">
        <v>111</v>
      </c>
    </row>
    <row r="59" spans="1:28">
      <c r="A59" s="13" t="s">
        <v>22</v>
      </c>
      <c r="B59" s="12" t="s">
        <v>15</v>
      </c>
      <c r="C59" s="10">
        <v>135.38999999999999</v>
      </c>
      <c r="D59" s="10"/>
      <c r="E59" s="15">
        <v>18.13</v>
      </c>
      <c r="F59" s="14">
        <f t="shared" si="4"/>
        <v>153.51999999999998</v>
      </c>
      <c r="G59" s="84">
        <f>(5750*1.125*1.09*1.03)*F59*1.05*1.03</f>
        <v>1205800.821154125</v>
      </c>
      <c r="H59" s="69" t="s">
        <v>80</v>
      </c>
      <c r="I59" s="69" t="s">
        <v>97</v>
      </c>
      <c r="J59" s="14">
        <v>59.2</v>
      </c>
      <c r="K59" s="85">
        <f t="shared" si="8"/>
        <v>203263.20000000004</v>
      </c>
      <c r="L59" s="33">
        <f t="shared" si="3"/>
        <v>212.71999999999997</v>
      </c>
      <c r="M59" s="42">
        <f t="shared" si="3"/>
        <v>1409064.021154125</v>
      </c>
      <c r="AB59" t="s">
        <v>107</v>
      </c>
    </row>
    <row r="60" spans="1:28">
      <c r="A60" s="161" t="s">
        <v>23</v>
      </c>
      <c r="B60" s="114" t="s">
        <v>14</v>
      </c>
      <c r="C60" s="115">
        <v>84.98</v>
      </c>
      <c r="D60" s="115"/>
      <c r="E60" s="204">
        <v>11.39</v>
      </c>
      <c r="F60" s="115">
        <f t="shared" si="4"/>
        <v>96.37</v>
      </c>
      <c r="G60" s="117">
        <f>(5760*1.125*1.09*1.05)*F60*1.05*1.03</f>
        <v>772963.85417580011</v>
      </c>
      <c r="H60" s="205" t="s">
        <v>66</v>
      </c>
      <c r="I60" s="205" t="s">
        <v>97</v>
      </c>
      <c r="J60" s="114">
        <v>56.76</v>
      </c>
      <c r="K60" s="119">
        <f t="shared" si="8"/>
        <v>194885.46000000002</v>
      </c>
      <c r="L60" s="120">
        <f t="shared" si="3"/>
        <v>153.13</v>
      </c>
      <c r="M60" s="206">
        <f t="shared" si="3"/>
        <v>967849.31417580019</v>
      </c>
      <c r="AA60" t="s">
        <v>108</v>
      </c>
    </row>
    <row r="61" spans="1:28">
      <c r="A61" s="161" t="s">
        <v>24</v>
      </c>
      <c r="B61" s="207" t="s">
        <v>15</v>
      </c>
      <c r="C61" s="115">
        <v>135.32</v>
      </c>
      <c r="D61" s="204"/>
      <c r="E61" s="204">
        <v>18.12</v>
      </c>
      <c r="F61" s="115">
        <f t="shared" si="4"/>
        <v>153.44</v>
      </c>
      <c r="G61" s="208">
        <f>(5750*1.125*1.09*1.03)*F61*1.05*1.03</f>
        <v>1205172.4726282505</v>
      </c>
      <c r="H61" s="209" t="s">
        <v>67</v>
      </c>
      <c r="I61" s="209" t="s">
        <v>97</v>
      </c>
      <c r="J61" s="114">
        <v>60.02</v>
      </c>
      <c r="K61" s="119">
        <f t="shared" si="8"/>
        <v>206078.67000000004</v>
      </c>
      <c r="L61" s="120">
        <f t="shared" si="3"/>
        <v>213.46</v>
      </c>
      <c r="M61" s="121">
        <f t="shared" si="3"/>
        <v>1411251.1426282506</v>
      </c>
    </row>
    <row r="62" spans="1:28">
      <c r="A62" s="32" t="s">
        <v>25</v>
      </c>
      <c r="B62" s="26"/>
      <c r="C62" s="28">
        <f>SUM(C39:C61)</f>
        <v>1998.4600000000003</v>
      </c>
      <c r="D62" s="27"/>
      <c r="E62" s="28">
        <f>SUM(E39:E61)</f>
        <v>269.95999999999998</v>
      </c>
      <c r="F62" s="76">
        <f>SUM(F39:F61)</f>
        <v>2392.4899999999993</v>
      </c>
      <c r="G62" s="76"/>
      <c r="H62" s="27"/>
      <c r="I62" s="27"/>
      <c r="J62" s="28">
        <f>SUM(J39:J61)</f>
        <v>772.55000000000007</v>
      </c>
      <c r="K62" s="28"/>
      <c r="L62" s="28">
        <f>SUM(L39:L61)</f>
        <v>3165.0400000000004</v>
      </c>
      <c r="M62" s="65">
        <f>SUM(M39:M61)</f>
        <v>14819363.466393348</v>
      </c>
    </row>
    <row r="64" spans="1:28">
      <c r="F64" s="100" t="s">
        <v>104</v>
      </c>
      <c r="G64" s="73"/>
      <c r="H64" s="73"/>
      <c r="I64" s="73"/>
      <c r="J64" s="73"/>
      <c r="M64" s="109" t="s">
        <v>106</v>
      </c>
    </row>
    <row r="65" spans="1:23">
      <c r="B65" s="247" t="s">
        <v>105</v>
      </c>
      <c r="C65" s="247"/>
      <c r="F65" s="100" t="s">
        <v>103</v>
      </c>
      <c r="G65" s="73"/>
      <c r="H65" s="73"/>
      <c r="I65" s="73"/>
      <c r="J65" s="73"/>
      <c r="M65" s="111" t="s">
        <v>112</v>
      </c>
    </row>
    <row r="66" spans="1:23">
      <c r="B66" s="45" t="s">
        <v>73</v>
      </c>
      <c r="C66" s="23"/>
      <c r="D66" s="5"/>
      <c r="F66" s="98" t="s">
        <v>102</v>
      </c>
      <c r="G66" s="98"/>
      <c r="H66" s="98"/>
      <c r="I66" s="98"/>
      <c r="J66" s="99"/>
      <c r="K66" s="99"/>
      <c r="L66" s="7"/>
      <c r="M66" s="5"/>
    </row>
    <row r="67" spans="1:23" ht="15.75" thickBot="1">
      <c r="A67" s="24" t="s">
        <v>6</v>
      </c>
      <c r="B67" s="25" t="s">
        <v>86</v>
      </c>
      <c r="C67" s="25"/>
      <c r="D67" s="25" t="s">
        <v>68</v>
      </c>
      <c r="F67" s="4" t="s">
        <v>72</v>
      </c>
      <c r="G67" s="4"/>
      <c r="H67" s="4" t="s">
        <v>72</v>
      </c>
      <c r="I67" s="4"/>
      <c r="N67" s="34"/>
      <c r="O67" s="34"/>
      <c r="P67" s="34"/>
      <c r="Q67" s="34"/>
      <c r="R67" s="34"/>
      <c r="S67" s="34"/>
      <c r="T67" s="34"/>
      <c r="U67" s="34"/>
      <c r="V67" s="34"/>
      <c r="W67" s="34"/>
    </row>
    <row r="68" spans="1:23" ht="15.75">
      <c r="A68" s="8" t="s">
        <v>82</v>
      </c>
      <c r="B68" s="50">
        <v>62.67</v>
      </c>
      <c r="C68" s="53" t="s">
        <v>87</v>
      </c>
      <c r="D68" s="42">
        <f>B68*3000*1.09*0.8*1.05</f>
        <v>172141.95600000003</v>
      </c>
      <c r="F68" s="145" t="s">
        <v>93</v>
      </c>
      <c r="G68" s="146"/>
      <c r="H68" s="146"/>
      <c r="I68" s="146"/>
      <c r="J68" s="70"/>
      <c r="K68" s="70"/>
      <c r="L68" s="70"/>
      <c r="M68" s="71"/>
      <c r="N68" s="34"/>
      <c r="O68" s="34"/>
      <c r="P68" s="34"/>
      <c r="Q68" s="34"/>
      <c r="R68" s="70"/>
      <c r="S68" s="70"/>
      <c r="T68" s="70"/>
      <c r="U68" s="70"/>
      <c r="V68" s="130"/>
      <c r="W68" s="34"/>
    </row>
    <row r="69" spans="1:23">
      <c r="A69" s="13" t="s">
        <v>83</v>
      </c>
      <c r="B69" s="51">
        <v>40.96</v>
      </c>
      <c r="C69" s="53" t="s">
        <v>87</v>
      </c>
      <c r="D69" s="42">
        <f>B69*3000*1.09*0.8*1.05</f>
        <v>112508.92800000001</v>
      </c>
      <c r="F69" s="137"/>
      <c r="G69" s="34"/>
      <c r="H69" s="34"/>
      <c r="I69" s="34"/>
      <c r="J69" s="34"/>
      <c r="K69" s="34"/>
      <c r="L69" s="34"/>
      <c r="M69" s="138"/>
      <c r="N69" s="34"/>
      <c r="O69" s="136"/>
      <c r="P69" s="34"/>
      <c r="Q69" s="34"/>
      <c r="R69" s="34"/>
      <c r="S69" s="34" t="s">
        <v>81</v>
      </c>
      <c r="T69" s="34"/>
      <c r="U69" s="34"/>
      <c r="V69" s="131"/>
      <c r="W69" s="34"/>
    </row>
    <row r="70" spans="1:23">
      <c r="A70" s="8" t="s">
        <v>84</v>
      </c>
      <c r="B70" s="50">
        <v>41.96</v>
      </c>
      <c r="C70" s="53" t="s">
        <v>87</v>
      </c>
      <c r="D70" s="42">
        <f>B70*3000*1.09*0.8*1.05</f>
        <v>115255.72800000002</v>
      </c>
      <c r="F70" s="137" t="s">
        <v>109</v>
      </c>
      <c r="G70" s="34"/>
      <c r="H70" s="34"/>
      <c r="I70" s="34"/>
      <c r="J70" s="34" t="s">
        <v>81</v>
      </c>
      <c r="K70" s="34"/>
      <c r="L70" s="34"/>
      <c r="M70" s="138" t="s">
        <v>110</v>
      </c>
      <c r="N70" s="34"/>
      <c r="O70" s="34"/>
      <c r="P70" s="34"/>
      <c r="Q70" s="34"/>
      <c r="R70" s="34"/>
      <c r="S70" s="34"/>
      <c r="T70" s="34"/>
      <c r="U70" s="34"/>
      <c r="V70" s="131"/>
      <c r="W70" s="34"/>
    </row>
    <row r="71" spans="1:23">
      <c r="A71" s="8" t="s">
        <v>85</v>
      </c>
      <c r="B71" s="51">
        <v>40.96</v>
      </c>
      <c r="C71" s="53" t="s">
        <v>87</v>
      </c>
      <c r="D71" s="42">
        <f>B71*3000*1.09*0.8*1.05</f>
        <v>112508.92800000001</v>
      </c>
      <c r="F71" s="139"/>
      <c r="G71" s="140"/>
      <c r="H71" s="140"/>
      <c r="I71" s="140"/>
      <c r="J71" s="140"/>
      <c r="K71" s="140"/>
      <c r="L71" s="140"/>
      <c r="M71" s="141" t="s">
        <v>123</v>
      </c>
      <c r="N71" s="34"/>
      <c r="O71" s="34"/>
      <c r="P71" s="34"/>
      <c r="Q71" s="34"/>
      <c r="R71" s="34"/>
      <c r="S71" s="34"/>
      <c r="T71" s="34"/>
      <c r="U71" s="34"/>
      <c r="V71" s="131"/>
      <c r="W71" s="34"/>
    </row>
    <row r="72" spans="1:23">
      <c r="A72" s="113" t="s">
        <v>74</v>
      </c>
      <c r="B72" s="225">
        <v>19.98</v>
      </c>
      <c r="C72" s="167" t="s">
        <v>87</v>
      </c>
      <c r="D72" s="121">
        <v>68602</v>
      </c>
      <c r="F72" s="139" t="s">
        <v>124</v>
      </c>
      <c r="G72" s="140"/>
      <c r="H72" s="140"/>
      <c r="I72" s="140"/>
      <c r="J72" s="140"/>
      <c r="K72" s="140"/>
      <c r="L72" s="140"/>
      <c r="M72" s="141" t="s">
        <v>113</v>
      </c>
      <c r="N72" s="138"/>
      <c r="O72" s="34"/>
      <c r="P72" s="34"/>
      <c r="Q72" s="34"/>
      <c r="R72" s="34"/>
      <c r="S72" s="34"/>
      <c r="T72" s="34"/>
      <c r="U72" s="34"/>
      <c r="V72" s="131"/>
      <c r="W72" s="34"/>
    </row>
    <row r="73" spans="1:23">
      <c r="A73" s="129" t="s">
        <v>75</v>
      </c>
      <c r="B73" s="165">
        <v>21</v>
      </c>
      <c r="C73" s="163" t="s">
        <v>87</v>
      </c>
      <c r="D73" s="128" t="s">
        <v>111</v>
      </c>
      <c r="F73" s="139" t="s">
        <v>114</v>
      </c>
      <c r="G73" s="140"/>
      <c r="H73" s="140"/>
      <c r="I73" s="140"/>
      <c r="J73" s="140"/>
      <c r="K73" s="140"/>
      <c r="L73" s="140"/>
      <c r="M73" s="141" t="s">
        <v>115</v>
      </c>
      <c r="N73" s="141"/>
      <c r="O73" s="34"/>
      <c r="P73" s="34"/>
      <c r="Q73" s="34"/>
      <c r="R73" s="34"/>
      <c r="S73" s="34"/>
      <c r="T73" s="34"/>
      <c r="U73" s="34"/>
      <c r="V73" s="131"/>
      <c r="W73" s="34"/>
    </row>
    <row r="74" spans="1:23">
      <c r="A74" s="226" t="s">
        <v>76</v>
      </c>
      <c r="B74" s="227">
        <v>21</v>
      </c>
      <c r="C74" s="228" t="s">
        <v>87</v>
      </c>
      <c r="D74" s="229" t="s">
        <v>111</v>
      </c>
      <c r="F74" s="139" t="s">
        <v>116</v>
      </c>
      <c r="G74" s="140"/>
      <c r="H74" s="140"/>
      <c r="I74" s="140"/>
      <c r="J74" s="140"/>
      <c r="K74" s="140"/>
      <c r="L74" s="140"/>
      <c r="M74" s="141"/>
      <c r="N74" s="141"/>
      <c r="O74" s="34"/>
      <c r="P74" s="34"/>
      <c r="Q74" s="34"/>
      <c r="R74" s="34"/>
      <c r="S74" s="34"/>
      <c r="T74" s="34"/>
      <c r="U74" s="34"/>
      <c r="V74" s="131"/>
      <c r="W74" s="34"/>
    </row>
    <row r="75" spans="1:23">
      <c r="A75" s="8" t="s">
        <v>77</v>
      </c>
      <c r="B75" s="50">
        <v>20.46</v>
      </c>
      <c r="C75" s="53" t="s">
        <v>87</v>
      </c>
      <c r="D75" s="42">
        <f t="shared" ref="D75:D79" si="9">B75*3000*1.09*1.05</f>
        <v>70249.410000000018</v>
      </c>
      <c r="F75" s="139"/>
      <c r="G75" s="140"/>
      <c r="H75" s="140"/>
      <c r="I75" s="140"/>
      <c r="J75" s="140"/>
      <c r="K75" s="140"/>
      <c r="L75" s="140"/>
      <c r="M75" s="141"/>
      <c r="N75" s="141"/>
      <c r="O75" s="34"/>
      <c r="P75" s="34"/>
      <c r="Q75" s="34"/>
      <c r="R75" s="34"/>
      <c r="S75" s="34"/>
      <c r="T75" s="34"/>
      <c r="U75" s="34"/>
      <c r="V75" s="131"/>
      <c r="W75" s="34"/>
    </row>
    <row r="76" spans="1:23">
      <c r="A76" s="8" t="s">
        <v>78</v>
      </c>
      <c r="B76" s="52">
        <v>31.21</v>
      </c>
      <c r="C76" s="53" t="s">
        <v>87</v>
      </c>
      <c r="D76" s="42">
        <f t="shared" si="9"/>
        <v>107159.53500000002</v>
      </c>
      <c r="F76" s="210" t="s">
        <v>130</v>
      </c>
      <c r="G76" s="211"/>
      <c r="H76" s="211"/>
      <c r="I76" s="211"/>
      <c r="J76" s="211"/>
      <c r="K76" s="211"/>
      <c r="L76" s="211"/>
      <c r="M76" s="141"/>
      <c r="N76" s="141"/>
      <c r="O76" s="34"/>
      <c r="P76" s="34"/>
      <c r="Q76" s="34"/>
      <c r="R76" s="34"/>
      <c r="S76" s="34"/>
      <c r="T76" s="34"/>
      <c r="U76" s="34"/>
      <c r="V76" s="131"/>
      <c r="W76" s="34"/>
    </row>
    <row r="77" spans="1:23" ht="15.75" thickBot="1">
      <c r="A77" s="113" t="s">
        <v>122</v>
      </c>
      <c r="B77" s="166">
        <v>26.35</v>
      </c>
      <c r="C77" s="167" t="s">
        <v>87</v>
      </c>
      <c r="D77" s="121">
        <f t="shared" si="9"/>
        <v>90472.725000000006</v>
      </c>
      <c r="E77" t="s">
        <v>92</v>
      </c>
      <c r="F77" s="140"/>
      <c r="G77" s="140"/>
      <c r="H77" s="140"/>
      <c r="I77" s="140"/>
      <c r="J77" s="140"/>
      <c r="K77" s="140"/>
      <c r="L77" s="140"/>
      <c r="M77" s="140"/>
      <c r="N77" s="141"/>
      <c r="O77" s="34"/>
      <c r="P77" s="34"/>
      <c r="Q77" s="34"/>
      <c r="R77" s="34"/>
      <c r="S77" s="34"/>
      <c r="T77" s="34"/>
      <c r="U77" s="34"/>
      <c r="V77" s="131"/>
      <c r="W77" s="34"/>
    </row>
    <row r="78" spans="1:23">
      <c r="A78" s="113" t="s">
        <v>99</v>
      </c>
      <c r="B78" s="166">
        <v>30.84</v>
      </c>
      <c r="C78" s="167" t="s">
        <v>87</v>
      </c>
      <c r="D78" s="121">
        <f t="shared" si="9"/>
        <v>105889.14000000001</v>
      </c>
      <c r="E78" t="s">
        <v>92</v>
      </c>
      <c r="F78" s="212" t="s">
        <v>129</v>
      </c>
      <c r="G78" s="213"/>
      <c r="H78" s="213"/>
      <c r="I78" s="213"/>
      <c r="J78" s="213"/>
      <c r="K78" s="213"/>
      <c r="L78" s="213"/>
      <c r="M78" s="214"/>
      <c r="N78" s="34"/>
      <c r="O78" s="34"/>
      <c r="P78" s="34"/>
      <c r="Q78" s="34"/>
      <c r="R78" s="34"/>
      <c r="S78" s="34"/>
      <c r="T78" s="34"/>
      <c r="U78" s="34"/>
      <c r="V78" s="131"/>
      <c r="W78" s="34"/>
    </row>
    <row r="79" spans="1:23" ht="15.75" thickBot="1">
      <c r="A79" s="129" t="s">
        <v>79</v>
      </c>
      <c r="B79" s="162">
        <v>19.809999999999999</v>
      </c>
      <c r="C79" s="163" t="s">
        <v>87</v>
      </c>
      <c r="D79" s="128">
        <f t="shared" si="9"/>
        <v>68017.634999999995</v>
      </c>
      <c r="F79" s="139" t="s">
        <v>94</v>
      </c>
      <c r="G79" s="140"/>
      <c r="H79" s="140"/>
      <c r="I79" s="140"/>
      <c r="J79" s="140"/>
      <c r="K79" s="140"/>
      <c r="L79" s="140"/>
      <c r="M79" s="141"/>
      <c r="N79" s="34"/>
      <c r="O79" s="34"/>
      <c r="P79" s="34"/>
      <c r="Q79" s="34"/>
      <c r="R79" s="72"/>
      <c r="S79" s="72"/>
      <c r="T79" s="72"/>
      <c r="U79" s="72"/>
      <c r="V79" s="132"/>
      <c r="W79" s="34"/>
    </row>
    <row r="80" spans="1:23" ht="15.75" thickBot="1">
      <c r="A80" s="32" t="s">
        <v>96</v>
      </c>
      <c r="B80" s="54">
        <f>SUM(B68:B79)</f>
        <v>377.2</v>
      </c>
      <c r="C80" s="55" t="s">
        <v>87</v>
      </c>
      <c r="D80" s="65">
        <f>SUM(D68:D79)</f>
        <v>1022805.9850000001</v>
      </c>
      <c r="F80" s="142" t="s">
        <v>125</v>
      </c>
      <c r="G80" s="143"/>
      <c r="H80" s="143"/>
      <c r="I80" s="143"/>
      <c r="J80" s="143"/>
      <c r="K80" s="143"/>
      <c r="L80" s="143"/>
      <c r="M80" s="144"/>
      <c r="N80" s="74"/>
    </row>
    <row r="81" spans="1:13" ht="18.75">
      <c r="A81" s="197" t="s">
        <v>131</v>
      </c>
      <c r="B81" s="198"/>
      <c r="C81" s="198"/>
      <c r="D81" s="198"/>
      <c r="E81" s="198"/>
      <c r="F81" s="199"/>
      <c r="G81" s="200"/>
      <c r="H81" s="200"/>
      <c r="I81" s="198"/>
      <c r="J81" s="201"/>
      <c r="K81" s="201"/>
      <c r="L81" s="201"/>
      <c r="M81" s="202"/>
    </row>
    <row r="82" spans="1:13" ht="19.5" thickBot="1">
      <c r="A82" s="217" t="s">
        <v>132</v>
      </c>
      <c r="B82" s="218"/>
      <c r="C82" s="218"/>
      <c r="D82" s="218"/>
      <c r="E82" s="218"/>
      <c r="F82" s="218"/>
      <c r="G82" s="218"/>
      <c r="H82" s="218"/>
      <c r="I82" s="218"/>
      <c r="J82" s="218"/>
      <c r="K82" s="218"/>
      <c r="L82" s="218"/>
      <c r="M82" s="219"/>
    </row>
    <row r="83" spans="1:13" ht="19.5" thickBot="1">
      <c r="A83" s="220" t="s">
        <v>133</v>
      </c>
      <c r="B83" s="221"/>
      <c r="C83" s="221"/>
      <c r="D83" s="222"/>
      <c r="E83" s="223"/>
      <c r="F83" s="223"/>
      <c r="G83" s="223"/>
      <c r="H83" s="223"/>
      <c r="I83" s="223"/>
      <c r="J83" s="223"/>
      <c r="K83" s="223"/>
      <c r="L83" s="223"/>
      <c r="M83" s="224"/>
    </row>
    <row r="90" spans="1:13">
      <c r="A90" s="48"/>
      <c r="B90" s="34"/>
      <c r="D90" s="34"/>
    </row>
    <row r="91" spans="1:13">
      <c r="A91" s="47"/>
      <c r="B91" s="35"/>
      <c r="C91" s="36"/>
      <c r="D91" s="46"/>
    </row>
    <row r="92" spans="1:13">
      <c r="A92" s="47"/>
      <c r="B92" s="35"/>
      <c r="C92" s="36"/>
      <c r="D92" s="46"/>
    </row>
    <row r="93" spans="1:13">
      <c r="A93" s="47"/>
      <c r="B93" s="35"/>
      <c r="C93" s="36"/>
      <c r="D93" s="46"/>
    </row>
    <row r="94" spans="1:13">
      <c r="A94" s="47"/>
      <c r="B94" s="35"/>
      <c r="C94" s="36"/>
      <c r="D94" s="46"/>
    </row>
    <row r="95" spans="1:13">
      <c r="A95" s="47"/>
      <c r="B95" s="35"/>
      <c r="C95" s="36"/>
      <c r="D95" s="46"/>
    </row>
    <row r="96" spans="1:13">
      <c r="A96" s="47"/>
      <c r="B96" s="35"/>
      <c r="C96" s="36"/>
      <c r="D96" s="46"/>
    </row>
    <row r="97" spans="1:4">
      <c r="A97" s="47"/>
      <c r="B97" s="35"/>
      <c r="C97" s="36"/>
      <c r="D97" s="46"/>
    </row>
    <row r="98" spans="1:4">
      <c r="A98" s="47"/>
      <c r="B98" s="35"/>
      <c r="C98" s="36"/>
      <c r="D98" s="46"/>
    </row>
    <row r="99" spans="1:4">
      <c r="A99" s="47"/>
      <c r="B99" s="35"/>
      <c r="C99" s="36"/>
      <c r="D99" s="46"/>
    </row>
    <row r="100" spans="1:4">
      <c r="A100" s="47"/>
      <c r="B100" s="35"/>
      <c r="C100" s="36"/>
      <c r="D100" s="46"/>
    </row>
    <row r="101" spans="1:4">
      <c r="A101" s="47"/>
      <c r="B101" s="35"/>
      <c r="C101" s="36"/>
      <c r="D101" s="46"/>
    </row>
    <row r="102" spans="1:4">
      <c r="A102" s="48"/>
      <c r="B102" s="34"/>
      <c r="C102" s="34"/>
      <c r="D102" s="34"/>
    </row>
    <row r="103" spans="1:4">
      <c r="A103" s="48"/>
      <c r="C103" s="34"/>
    </row>
    <row r="128" spans="12:12">
      <c r="L128" t="s">
        <v>70</v>
      </c>
    </row>
    <row r="138" spans="1:13">
      <c r="D138" t="s">
        <v>4</v>
      </c>
      <c r="J138" t="s">
        <v>3</v>
      </c>
    </row>
    <row r="139" spans="1:13">
      <c r="A139" s="48"/>
      <c r="B139" s="34"/>
      <c r="C139" s="34"/>
      <c r="D139" s="34"/>
      <c r="E139" s="34"/>
      <c r="F139" s="34"/>
      <c r="G139" s="34"/>
      <c r="H139" s="34"/>
      <c r="I139" s="34"/>
      <c r="J139" s="34"/>
    </row>
    <row r="140" spans="1:13">
      <c r="A140" s="48"/>
      <c r="B140" s="34"/>
      <c r="C140" s="34"/>
      <c r="D140" s="34"/>
      <c r="E140" s="34"/>
      <c r="F140" s="34"/>
      <c r="G140" s="34"/>
      <c r="H140" s="34"/>
      <c r="I140" s="34"/>
      <c r="J140" s="34"/>
    </row>
    <row r="141" spans="1:13">
      <c r="A141" s="48"/>
      <c r="B141" s="34"/>
      <c r="C141" s="34"/>
      <c r="D141" s="48"/>
      <c r="E141" s="48"/>
      <c r="F141" s="48"/>
      <c r="G141" s="34"/>
      <c r="H141" s="34"/>
      <c r="I141" s="34"/>
      <c r="J141" s="34"/>
    </row>
    <row r="144" spans="1:13">
      <c r="A144" s="101" t="s">
        <v>18</v>
      </c>
      <c r="B144" s="102" t="s">
        <v>15</v>
      </c>
      <c r="C144" s="103">
        <v>104.16</v>
      </c>
      <c r="D144" s="103">
        <v>56.07</v>
      </c>
      <c r="E144" s="104">
        <v>16.190000000000001</v>
      </c>
      <c r="F144" s="103">
        <f>C144+D144+E144</f>
        <v>176.42</v>
      </c>
      <c r="G144" s="105">
        <f>(5350*1.125*1.09*1.07)*(F144-D144/1.7)*1.05*1.05</f>
        <v>1110090.3585796657</v>
      </c>
      <c r="H144" s="164" t="s">
        <v>60</v>
      </c>
      <c r="I144" s="164" t="s">
        <v>97</v>
      </c>
      <c r="J144" s="103">
        <v>52.7</v>
      </c>
      <c r="K144" s="106">
        <f>(3000*1.09)*J144*1.05</f>
        <v>180945.45000000004</v>
      </c>
      <c r="L144" s="107">
        <f t="shared" ref="L144" si="10">F144+J144</f>
        <v>229.12</v>
      </c>
      <c r="M144" s="108">
        <f t="shared" ref="M144" si="11">G144+K144</f>
        <v>1291035.8085796656</v>
      </c>
    </row>
    <row r="147" spans="1:13">
      <c r="A147" s="8" t="s">
        <v>42</v>
      </c>
      <c r="B147" s="17" t="s">
        <v>14</v>
      </c>
      <c r="C147" s="14">
        <v>86.05</v>
      </c>
      <c r="D147" s="14"/>
      <c r="E147" s="15">
        <v>11.52</v>
      </c>
      <c r="F147" s="14">
        <f t="shared" ref="F147" si="12">C147+D147+E147</f>
        <v>97.57</v>
      </c>
      <c r="G147" s="85">
        <f>(5600*1.125*1.09)*F147*1.05</f>
        <v>703513.84950000013</v>
      </c>
      <c r="H147" s="30">
        <v>59</v>
      </c>
      <c r="I147" s="30"/>
      <c r="J147" s="14">
        <v>19</v>
      </c>
      <c r="K147" s="85">
        <f>(3000*1.09)*J147*1.05</f>
        <v>65236.500000000007</v>
      </c>
      <c r="L147" s="33">
        <f t="shared" ref="L147" si="13">F147+J147</f>
        <v>116.57</v>
      </c>
      <c r="M147" s="42">
        <f t="shared" ref="M147" si="14">G147+K147</f>
        <v>768750.34950000013</v>
      </c>
    </row>
    <row r="149" spans="1:13">
      <c r="A149" s="8" t="s">
        <v>42</v>
      </c>
      <c r="B149" s="17" t="s">
        <v>14</v>
      </c>
      <c r="C149" s="14">
        <v>86.05</v>
      </c>
      <c r="D149" s="14"/>
      <c r="E149" s="15">
        <v>11.52</v>
      </c>
      <c r="F149" s="14">
        <f t="shared" ref="F149" si="15">C149+D149+E149</f>
        <v>97.57</v>
      </c>
      <c r="G149" s="85">
        <f>(5600*1.125*1.09)*F149*1.05</f>
        <v>703513.84950000013</v>
      </c>
      <c r="H149" s="30">
        <v>59</v>
      </c>
      <c r="I149" s="30"/>
      <c r="J149" s="14">
        <v>19</v>
      </c>
      <c r="K149" s="85">
        <f>(3000*1.09)*J149*1.05</f>
        <v>65236.500000000007</v>
      </c>
      <c r="L149" s="33">
        <f t="shared" ref="L149" si="16">F149+J149</f>
        <v>116.57</v>
      </c>
      <c r="M149" s="42">
        <f t="shared" ref="M149" si="17">G149+K149</f>
        <v>768750.34950000013</v>
      </c>
    </row>
    <row r="152" spans="1:13">
      <c r="A152" s="113" t="s">
        <v>98</v>
      </c>
      <c r="B152" s="166">
        <v>31.45</v>
      </c>
      <c r="C152" s="167" t="s">
        <v>87</v>
      </c>
      <c r="D152" s="121">
        <f t="shared" ref="D152" si="18">B152*3000*1.09*1.05</f>
        <v>107983.57500000003</v>
      </c>
    </row>
    <row r="155" spans="1:13">
      <c r="A155" s="172" t="s">
        <v>20</v>
      </c>
      <c r="B155" s="173" t="s">
        <v>15</v>
      </c>
      <c r="C155" s="174">
        <v>104.68</v>
      </c>
      <c r="D155" s="174">
        <v>28</v>
      </c>
      <c r="E155" s="175">
        <v>14.03</v>
      </c>
      <c r="F155" s="174">
        <f t="shared" ref="F155" si="19">C155+D155+E155</f>
        <v>146.71</v>
      </c>
      <c r="G155" s="176">
        <f>(5350*1.125*1.09*1.07)*(F155-D155/2.5)*1.05</f>
        <v>998796.98899968783</v>
      </c>
      <c r="H155" s="179" t="s">
        <v>61</v>
      </c>
      <c r="I155" s="179" t="s">
        <v>97</v>
      </c>
      <c r="J155" s="174">
        <v>57.02</v>
      </c>
      <c r="K155" s="176">
        <f t="shared" ref="K155" si="20">(3000*1.09)*J155*1.05</f>
        <v>195778.17000000004</v>
      </c>
      <c r="L155" s="177">
        <f t="shared" ref="L155" si="21">F155+J155</f>
        <v>203.73000000000002</v>
      </c>
      <c r="M155" s="178">
        <f>G155+K155</f>
        <v>1194575.158999688</v>
      </c>
    </row>
  </sheetData>
  <mergeCells count="1">
    <mergeCell ref="B65:C65"/>
  </mergeCells>
  <pageMargins left="0.51181102362204722" right="0.11811023622047245" top="3.937007874015748E-2" bottom="3.937007874015748E-2" header="0" footer="0"/>
  <pageSetup paperSize="9" scale="64" fitToHeight="0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Dafne</dc:creator>
  <cp:lastModifiedBy>Eliz</cp:lastModifiedBy>
  <cp:lastPrinted>2018-04-20T19:04:01Z</cp:lastPrinted>
  <dcterms:created xsi:type="dcterms:W3CDTF">2014-08-21T12:52:11Z</dcterms:created>
  <dcterms:modified xsi:type="dcterms:W3CDTF">2018-07-06T14:33:41Z</dcterms:modified>
</cp:coreProperties>
</file>