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2285" windowHeight="534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Plan1!$A$1:$M$139</definedName>
  </definedNames>
  <calcPr calcId="145621"/>
</workbook>
</file>

<file path=xl/calcChain.xml><?xml version="1.0" encoding="utf-8"?>
<calcChain xmlns="http://schemas.openxmlformats.org/spreadsheetml/2006/main">
  <c r="D80" i="1" l="1"/>
  <c r="D79" i="1"/>
  <c r="D78" i="1"/>
  <c r="D77" i="1"/>
  <c r="D76" i="1"/>
  <c r="D73" i="1"/>
  <c r="D72" i="1"/>
  <c r="D71" i="1"/>
  <c r="D70" i="1"/>
  <c r="D69" i="1"/>
  <c r="D68" i="1"/>
  <c r="M61" i="1" l="1"/>
  <c r="M60" i="1"/>
  <c r="M59" i="1"/>
  <c r="M57" i="1"/>
  <c r="M56" i="1"/>
  <c r="M54" i="1"/>
  <c r="M51" i="1"/>
  <c r="M50" i="1"/>
  <c r="M49" i="1"/>
  <c r="M47" i="1"/>
  <c r="M32" i="1"/>
  <c r="M30" i="1"/>
  <c r="M24" i="1"/>
  <c r="M23" i="1"/>
  <c r="M20" i="1"/>
  <c r="M19" i="1"/>
  <c r="M15" i="1"/>
  <c r="M14" i="1"/>
  <c r="K60" i="1" l="1"/>
  <c r="G60" i="1" l="1"/>
  <c r="G56" i="1"/>
  <c r="G54" i="1"/>
  <c r="G50" i="1"/>
  <c r="G47" i="1"/>
  <c r="G40" i="1"/>
  <c r="G33" i="1" l="1"/>
  <c r="G32" i="1"/>
  <c r="G30" i="1"/>
  <c r="G29" i="1"/>
  <c r="G28" i="1"/>
  <c r="G24" i="1"/>
  <c r="G23" i="1"/>
  <c r="G20" i="1"/>
  <c r="G19" i="1"/>
  <c r="G15" i="1"/>
  <c r="G14" i="1"/>
  <c r="K61" i="1" l="1"/>
  <c r="K59" i="1"/>
  <c r="K57" i="1"/>
  <c r="K56" i="1"/>
  <c r="K54" i="1"/>
  <c r="K51" i="1"/>
  <c r="K50" i="1"/>
  <c r="K49" i="1"/>
  <c r="K47" i="1"/>
  <c r="K46" i="1"/>
  <c r="K45" i="1"/>
  <c r="K40" i="1"/>
  <c r="K39" i="1"/>
  <c r="G61" i="1"/>
  <c r="G59" i="1"/>
  <c r="G57" i="1"/>
  <c r="G51" i="1"/>
  <c r="G49" i="1"/>
  <c r="G46" i="1"/>
  <c r="G45" i="1"/>
  <c r="G39" i="1"/>
  <c r="K33" i="1"/>
  <c r="K32" i="1"/>
  <c r="K30" i="1"/>
  <c r="K29" i="1"/>
  <c r="K28" i="1"/>
  <c r="K24" i="1"/>
  <c r="K23" i="1"/>
  <c r="K20" i="1"/>
  <c r="K19" i="1"/>
  <c r="K15" i="1"/>
  <c r="K14" i="1"/>
  <c r="B81" i="1" l="1"/>
  <c r="F46" i="1"/>
  <c r="L46" i="1" s="1"/>
  <c r="F15" i="1"/>
  <c r="F14" i="1"/>
  <c r="L14" i="1" s="1"/>
  <c r="L15" i="1" l="1"/>
  <c r="F145" i="1"/>
  <c r="G145" i="1" s="1"/>
  <c r="K145" i="1"/>
  <c r="F148" i="1"/>
  <c r="G148" i="1" s="1"/>
  <c r="M148" i="1" s="1"/>
  <c r="K148" i="1"/>
  <c r="F150" i="1"/>
  <c r="G150" i="1" s="1"/>
  <c r="K150" i="1"/>
  <c r="D153" i="1"/>
  <c r="F156" i="1"/>
  <c r="G156" i="1" s="1"/>
  <c r="K156" i="1"/>
  <c r="M145" i="1" l="1"/>
  <c r="M150" i="1"/>
  <c r="M156" i="1"/>
  <c r="L150" i="1"/>
  <c r="L148" i="1"/>
  <c r="L156" i="1"/>
  <c r="L145" i="1"/>
  <c r="K53" i="1"/>
  <c r="K27" i="1"/>
  <c r="K21" i="1"/>
  <c r="K58" i="1" l="1"/>
  <c r="F30" i="1"/>
  <c r="K55" i="1"/>
  <c r="K52" i="1"/>
  <c r="K48" i="1"/>
  <c r="K42" i="1"/>
  <c r="K41" i="1"/>
  <c r="K34" i="1"/>
  <c r="K31" i="1"/>
  <c r="K26" i="1"/>
  <c r="K25" i="1"/>
  <c r="K22" i="1"/>
  <c r="K18" i="1"/>
  <c r="K17" i="1"/>
  <c r="K16" i="1"/>
  <c r="L30" i="1" l="1"/>
  <c r="D81" i="1"/>
  <c r="K44" i="1" l="1"/>
  <c r="K43" i="1"/>
  <c r="J62" i="1" l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F31" i="1"/>
  <c r="L31" i="1" s="1"/>
  <c r="F32" i="1"/>
  <c r="L32" i="1" s="1"/>
  <c r="F33" i="1"/>
  <c r="L33" i="1" s="1"/>
  <c r="F34" i="1"/>
  <c r="L34" i="1" s="1"/>
  <c r="F17" i="1"/>
  <c r="L17" i="1" s="1"/>
  <c r="F16" i="1"/>
  <c r="L16" i="1" s="1"/>
  <c r="L47" i="1" l="1"/>
  <c r="G42" i="1"/>
  <c r="L42" i="1"/>
  <c r="L35" i="1"/>
  <c r="L45" i="1"/>
  <c r="G55" i="1"/>
  <c r="G17" i="1"/>
  <c r="G31" i="1"/>
  <c r="G27" i="1"/>
  <c r="G41" i="1"/>
  <c r="G58" i="1"/>
  <c r="G16" i="1"/>
  <c r="G34" i="1"/>
  <c r="G26" i="1"/>
  <c r="G22" i="1"/>
  <c r="G18" i="1"/>
  <c r="G53" i="1"/>
  <c r="G44" i="1"/>
  <c r="M44" i="1" s="1"/>
  <c r="G25" i="1"/>
  <c r="G21" i="1"/>
  <c r="G52" i="1"/>
  <c r="G48" i="1"/>
  <c r="G43" i="1"/>
  <c r="M43" i="1" s="1"/>
  <c r="F62" i="1"/>
  <c r="E62" i="1"/>
  <c r="C62" i="1"/>
  <c r="C35" i="1"/>
  <c r="E35" i="1"/>
  <c r="L62" i="1" l="1"/>
  <c r="F35" i="1"/>
  <c r="M62" i="1" l="1"/>
  <c r="M35" i="1" l="1"/>
</calcChain>
</file>

<file path=xl/sharedStrings.xml><?xml version="1.0" encoding="utf-8"?>
<sst xmlns="http://schemas.openxmlformats.org/spreadsheetml/2006/main" count="274" uniqueCount="138">
  <si>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</si>
  <si>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</si>
  <si>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</si>
  <si>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</si>
  <si>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</si>
  <si>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</si>
  <si>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</si>
  <si>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</si>
  <si>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</si>
  <si>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</si>
  <si>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</si>
  <si>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</si>
  <si>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</si>
  <si>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</si>
  <si>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</si>
  <si>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</si>
  <si>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</si>
  <si>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</si>
  <si>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</si>
  <si>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</si>
  <si>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</si>
  <si>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</si>
  <si>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</si>
  <si>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</si>
  <si>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</si>
  <si>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</si>
  <si>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</si>
  <si>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</si>
  <si>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</si>
  <si>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</si>
  <si>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</si>
  <si>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</si>
  <si>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</si>
  <si>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</si>
  <si>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</si>
  <si>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</si>
  <si>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</si>
  <si>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</si>
  <si>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</si>
  <si>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</si>
  <si>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</si>
  <si>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</si>
  <si>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</si>
  <si>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</si>
  <si>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</si>
  <si>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</si>
  <si>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</si>
  <si>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</si>
  <si>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</si>
  <si>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</si>
  <si>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</si>
  <si>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</si>
  <si>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</si>
  <si>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</si>
  <si>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</si>
  <si>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</si>
  <si>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</si>
  <si>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</si>
  <si>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</si>
  <si>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</si>
  <si>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</si>
  <si>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</si>
  <si>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</si>
  <si>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</si>
  <si>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</si>
  <si>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</si>
  <si>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</si>
  <si>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</si>
  <si>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</si>
  <si>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</si>
  <si>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</si>
  <si>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</si>
  <si>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</si>
  <si>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</si>
  <si>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</si>
  <si>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</si>
  <si>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</si>
  <si>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</si>
  <si>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</si>
  <si>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</si>
  <si>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</si>
  <si>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</si>
  <si>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</si>
  <si>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</si>
  <si>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</si>
  <si>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</si>
  <si>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</si>
  <si>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</si>
  <si>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</si>
  <si>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</si>
  <si>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</si>
  <si>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</si>
  <si>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</si>
  <si>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</si>
  <si>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</si>
  <si>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</si>
  <si>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</si>
  <si>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</si>
  <si>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Prazo de entrega:</t>
  </si>
  <si>
    <t>BOX EXTRA</t>
  </si>
  <si>
    <t>Reservados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</si>
  <si>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</si>
  <si>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</si>
  <si>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</si>
  <si>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</si>
  <si>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Vendido</t>
  </si>
  <si>
    <t>Vendidos</t>
  </si>
  <si>
    <t xml:space="preserve">*DEC APTO 101 </t>
  </si>
  <si>
    <t>*DEC APTO 303</t>
  </si>
  <si>
    <t xml:space="preserve">APTO 102 </t>
  </si>
  <si>
    <t>vendido</t>
  </si>
  <si>
    <t>59/60</t>
  </si>
  <si>
    <t>**DEC APTO 106</t>
  </si>
  <si>
    <t>APTO 314</t>
  </si>
  <si>
    <t>APTO 215</t>
  </si>
  <si>
    <t>Possibilidade parcelamento direto em até 60X ou financiamento bancário.</t>
  </si>
  <si>
    <t>BOX 54</t>
  </si>
  <si>
    <t>Bloco 1 = 30 dias após a assinatura do contrato.</t>
  </si>
  <si>
    <t>Bloco 2 = setembro de 2019.</t>
  </si>
  <si>
    <t>**APTO 106 A : Mobilia e Decoração- Valor R$ 162.000,00 ( em 6X fixas)</t>
  </si>
  <si>
    <t>*APTO 101 A:  Mobília e Decoração- Valor R$ 178.000,00 ( em 6X fixas)</t>
  </si>
  <si>
    <t>*** APTO 303 A : Mobilia e decoração - Valor R$ 235.000,00 (em 6x fixas)</t>
  </si>
  <si>
    <t>35/35A</t>
  </si>
  <si>
    <t>m2</t>
  </si>
  <si>
    <t>BOX 64</t>
  </si>
  <si>
    <t>BOX 46</t>
  </si>
  <si>
    <t>BOX 45</t>
  </si>
  <si>
    <t xml:space="preserve">1)á vista: 6% </t>
  </si>
  <si>
    <t>1) á vista 6%</t>
  </si>
  <si>
    <t xml:space="preserve">2) 4% desconto ( 50% entrada e saldo em até 6x fixas) </t>
  </si>
  <si>
    <t>3)Entrada 35% e saldo até 36x</t>
  </si>
  <si>
    <t>IGPM +0,5%a.m. ou 1%a.m.direto</t>
  </si>
  <si>
    <t>3)Entrada 35% e saldo em até 42x</t>
  </si>
  <si>
    <t>em até 8x fixas)</t>
  </si>
  <si>
    <t xml:space="preserve">2) 4% desconto ( 50% entrada e saldo </t>
  </si>
  <si>
    <t>Após entrega IGPM + 0,5 a.m.</t>
  </si>
  <si>
    <t>Preço tabela INCC até entrega.</t>
  </si>
  <si>
    <t>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</si>
</sst>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54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0" fillId="7" borderId="0" xfId="0" applyFill="1"/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0" fontId="4" fillId="11" borderId="5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0" fontId="14" fillId="0" borderId="9" xfId="0" applyFont="1" applyBorder="1"/>
    <xf numFmtId="0" fontId="15" fillId="0" borderId="8" xfId="0" applyFont="1" applyBorder="1"/>
    <xf numFmtId="0" fontId="14" fillId="9" borderId="8" xfId="0" applyFont="1" applyFill="1" applyBorder="1"/>
    <xf numFmtId="0" fontId="14" fillId="0" borderId="8" xfId="0" applyFont="1" applyBorder="1"/>
    <xf numFmtId="0" fontId="13" fillId="0" borderId="8" xfId="0" applyFont="1" applyBorder="1"/>
    <xf numFmtId="0" fontId="13" fillId="0" borderId="4" xfId="0" applyFont="1" applyBorder="1"/>
    <xf numFmtId="1" fontId="4" fillId="2" borderId="5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44" fontId="4" fillId="0" borderId="7" xfId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1" fillId="9" borderId="15" xfId="0" applyFont="1" applyFill="1" applyBorder="1"/>
    <xf numFmtId="0" fontId="1" fillId="9" borderId="0" xfId="0" applyFont="1" applyFill="1" applyBorder="1"/>
    <xf numFmtId="0" fontId="0" fillId="9" borderId="12" xfId="0" applyFill="1" applyBorder="1"/>
    <xf numFmtId="0" fontId="0" fillId="9" borderId="13" xfId="0" applyFill="1" applyBorder="1"/>
    <xf numFmtId="0" fontId="0" fillId="9" borderId="14" xfId="0" applyFill="1" applyBorder="1"/>
    <xf numFmtId="49" fontId="11" fillId="0" borderId="0" xfId="0" applyNumberFormat="1" applyFont="1"/>
    <xf numFmtId="0" fontId="11" fillId="0" borderId="0" xfId="0" applyFont="1"/>
    <xf numFmtId="0" fontId="14" fillId="0" borderId="26" xfId="0" applyFont="1" applyBorder="1"/>
    <xf numFmtId="0" fontId="0" fillId="0" borderId="19" xfId="0" applyBorder="1"/>
    <xf numFmtId="0" fontId="0" fillId="0" borderId="2" xfId="0" applyBorder="1"/>
    <xf numFmtId="0" fontId="14" fillId="0" borderId="21" xfId="0" applyFont="1" applyBorder="1"/>
    <xf numFmtId="0" fontId="3" fillId="12" borderId="6" xfId="0" applyFont="1" applyFill="1" applyBorder="1" applyAlignment="1">
      <alignment horizontal="center"/>
    </xf>
    <xf numFmtId="2" fontId="4" fillId="12" borderId="9" xfId="0" applyNumberFormat="1" applyFont="1" applyFill="1" applyBorder="1" applyAlignment="1">
      <alignment horizontal="right"/>
    </xf>
    <xf numFmtId="2" fontId="4" fillId="12" borderId="4" xfId="0" applyNumberFormat="1" applyFont="1" applyFill="1" applyBorder="1" applyAlignment="1">
      <alignment horizontal="left"/>
    </xf>
    <xf numFmtId="164" fontId="4" fillId="12" borderId="1" xfId="0" applyNumberFormat="1" applyFont="1" applyFill="1" applyBorder="1" applyAlignment="1">
      <alignment horizontal="center"/>
    </xf>
    <xf numFmtId="0" fontId="17" fillId="2" borderId="6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2" fontId="16" fillId="0" borderId="7" xfId="0" applyNumberFormat="1" applyFont="1" applyFill="1" applyBorder="1" applyAlignment="1">
      <alignment horizontal="center"/>
    </xf>
    <xf numFmtId="2" fontId="16" fillId="0" borderId="2" xfId="0" applyNumberFormat="1" applyFont="1" applyFill="1" applyBorder="1" applyAlignment="1">
      <alignment horizontal="center"/>
    </xf>
    <xf numFmtId="2" fontId="16" fillId="0" borderId="1" xfId="0" applyNumberFormat="1" applyFont="1" applyFill="1" applyBorder="1" applyAlignment="1">
      <alignment horizontal="center"/>
    </xf>
    <xf numFmtId="44" fontId="16" fillId="0" borderId="5" xfId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right"/>
    </xf>
    <xf numFmtId="9" fontId="0" fillId="9" borderId="25" xfId="0" applyNumberFormat="1" applyFill="1" applyBorder="1"/>
    <xf numFmtId="0" fontId="3" fillId="8" borderId="7" xfId="0" applyFont="1" applyFill="1" applyBorder="1" applyAlignment="1">
      <alignment horizontal="center"/>
    </xf>
    <xf numFmtId="165" fontId="12" fillId="0" borderId="20" xfId="0" applyNumberFormat="1" applyFont="1" applyBorder="1"/>
    <xf numFmtId="17" fontId="18" fillId="0" borderId="0" xfId="0" applyNumberFormat="1" applyFont="1"/>
    <xf numFmtId="17" fontId="11" fillId="0" borderId="0" xfId="0" applyNumberFormat="1" applyFont="1"/>
    <xf numFmtId="0" fontId="0" fillId="2" borderId="0" xfId="0" applyFill="1" applyBorder="1"/>
    <xf numFmtId="0" fontId="3" fillId="12" borderId="1" xfId="0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2" fontId="4" fillId="2" borderId="4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right"/>
    </xf>
    <xf numFmtId="164" fontId="4" fillId="8" borderId="9" xfId="0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164" fontId="4" fillId="2" borderId="9" xfId="0" applyNumberFormat="1" applyFont="1" applyFill="1" applyBorder="1" applyAlignment="1">
      <alignment horizontal="center"/>
    </xf>
    <xf numFmtId="164" fontId="3" fillId="3" borderId="9" xfId="0" applyNumberFormat="1" applyFont="1" applyFill="1" applyBorder="1" applyAlignment="1">
      <alignment horizontal="center"/>
    </xf>
    <xf numFmtId="44" fontId="4" fillId="0" borderId="0" xfId="1" applyFont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2" fontId="0" fillId="0" borderId="0" xfId="0" applyNumberFormat="1" applyBorder="1"/>
    <xf numFmtId="0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4" fontId="4" fillId="0" borderId="0" xfId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0" fontId="17" fillId="8" borderId="1" xfId="0" applyFont="1" applyFill="1" applyBorder="1" applyAlignment="1">
      <alignment horizontal="center"/>
    </xf>
    <xf numFmtId="0" fontId="15" fillId="12" borderId="27" xfId="0" applyFont="1" applyFill="1" applyBorder="1"/>
    <xf numFmtId="0" fontId="13" fillId="12" borderId="27" xfId="0" applyFont="1" applyFill="1" applyBorder="1"/>
    <xf numFmtId="0" fontId="0" fillId="12" borderId="27" xfId="0" applyFill="1" applyBorder="1"/>
    <xf numFmtId="0" fontId="0" fillId="12" borderId="28" xfId="0" applyFill="1" applyBorder="1"/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7</xdr:col>
      <xdr:colOff>210483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4</xdr:col>
      <xdr:colOff>22939</xdr:colOff>
      <xdr:row>98</xdr:row>
      <xdr:rowOff>1</xdr:rowOff>
    </xdr:from>
    <xdr:to>
      <xdr:col>11</xdr:col>
      <xdr:colOff>414513</xdr:colOff>
      <xdr:row>103</xdr:row>
      <xdr:rowOff>29935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13704" y="17300511"/>
          <a:ext cx="3738465" cy="1001872"/>
        </a:xfrm>
        <a:prstGeom prst="rect">
          <a:avLst/>
        </a:prstGeom>
      </xdr:spPr>
    </xdr:pic>
    <xdr:clientData/>
  </xdr:twoCellAnchor>
  <xdr:twoCellAnchor editAs="oneCell">
    <xdr:from>
      <xdr:col>6</xdr:col>
      <xdr:colOff>720562</xdr:colOff>
      <xdr:row>122</xdr:row>
      <xdr:rowOff>38878</xdr:rowOff>
    </xdr:from>
    <xdr:to>
      <xdr:col>12</xdr:col>
      <xdr:colOff>1007257</xdr:colOff>
      <xdr:row>137</xdr:row>
      <xdr:rowOff>155121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5696889" y="22976633"/>
          <a:ext cx="3636195" cy="3032059"/>
        </a:xfrm>
        <a:prstGeom prst="rect">
          <a:avLst/>
        </a:prstGeom>
      </xdr:spPr>
    </xdr:pic>
    <xdr:clientData/>
  </xdr:twoCellAnchor>
  <xdr:twoCellAnchor editAs="oneCell">
    <xdr:from>
      <xdr:col>1</xdr:col>
      <xdr:colOff>204466</xdr:colOff>
      <xdr:row>122</xdr:row>
      <xdr:rowOff>91360</xdr:rowOff>
    </xdr:from>
    <xdr:to>
      <xdr:col>5</xdr:col>
      <xdr:colOff>631216</xdr:colOff>
      <xdr:row>137</xdr:row>
      <xdr:rowOff>179770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1118088" y="23029115"/>
          <a:ext cx="3479182" cy="3011846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1077341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102</xdr:row>
      <xdr:rowOff>96465</xdr:rowOff>
    </xdr:from>
    <xdr:to>
      <xdr:col>12</xdr:col>
      <xdr:colOff>248873</xdr:colOff>
      <xdr:row>121</xdr:row>
      <xdr:rowOff>106914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594834" y="19146465"/>
          <a:ext cx="4918465" cy="3703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56"/>
  <sheetViews>
    <sheetView tabSelected="1" topLeftCell="B1" zoomScaleNormal="100" workbookViewId="0">
      <selection activeCell="F80" sqref="F80:J80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3.85546875" customWidth="1"/>
    <col min="5" max="5" width="12.140625" customWidth="1"/>
    <col min="6" max="6" width="11" customWidth="1"/>
    <col min="7" max="7" width="15" hidden="1" customWidth="1"/>
    <col min="8" max="9" width="7.140625" customWidth="1"/>
    <col min="10" max="10" width="12.28515625" customWidth="1"/>
    <col min="11" max="11" width="16" hidden="1" customWidth="1"/>
    <col min="12" max="12" width="11.7109375" customWidth="1"/>
    <col min="13" max="13" width="31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5"/>
      <c r="B3" s="3" t="s">
        <v>68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6" t="s">
        <v>69</v>
      </c>
    </row>
    <row r="9" spans="1:13" ht="10.5" customHeight="1">
      <c r="J9" s="127"/>
    </row>
    <row r="10" spans="1:13" ht="19.5" thickBot="1">
      <c r="J10" s="107"/>
      <c r="K10" s="2"/>
      <c r="L10" s="2"/>
    </row>
    <row r="11" spans="1:13" ht="19.5" thickBot="1">
      <c r="A11" s="201" t="s">
        <v>137</v>
      </c>
      <c r="B11" s="202"/>
      <c r="D11" s="228"/>
      <c r="E11" s="38"/>
      <c r="I11" s="105"/>
      <c r="J11" s="128"/>
      <c r="K11" s="227"/>
      <c r="L11" s="226"/>
      <c r="M11" s="107"/>
    </row>
    <row r="12" spans="1:13" ht="19.5" thickBot="1">
      <c r="A12" s="201"/>
      <c r="D12" s="55" t="s">
        <v>85</v>
      </c>
      <c r="E12" s="37" t="s">
        <v>3</v>
      </c>
      <c r="F12" s="55" t="s">
        <v>85</v>
      </c>
      <c r="G12" s="55"/>
      <c r="H12" s="38"/>
      <c r="I12" s="31"/>
      <c r="J12" s="71" t="s">
        <v>91</v>
      </c>
      <c r="K12" s="71"/>
      <c r="L12" s="71"/>
      <c r="M12" s="71"/>
    </row>
    <row r="13" spans="1:13" ht="15.75" thickBot="1">
      <c r="A13" s="52" t="s">
        <v>12</v>
      </c>
      <c r="B13" s="53" t="s">
        <v>13</v>
      </c>
      <c r="C13" s="53" t="s">
        <v>0</v>
      </c>
      <c r="D13" s="53" t="s">
        <v>87</v>
      </c>
      <c r="E13" s="52" t="s">
        <v>1</v>
      </c>
      <c r="F13" s="55" t="s">
        <v>86</v>
      </c>
      <c r="G13" s="76" t="s">
        <v>96</v>
      </c>
      <c r="H13" s="54" t="s">
        <v>6</v>
      </c>
      <c r="I13" s="74" t="s">
        <v>89</v>
      </c>
      <c r="J13" s="79" t="s">
        <v>2</v>
      </c>
      <c r="K13" s="53" t="s">
        <v>97</v>
      </c>
      <c r="L13" s="75" t="s">
        <v>70</v>
      </c>
      <c r="M13" s="53" t="s">
        <v>67</v>
      </c>
    </row>
    <row r="14" spans="1:13">
      <c r="A14" s="211" t="s">
        <v>107</v>
      </c>
      <c r="B14" s="82" t="s">
        <v>14</v>
      </c>
      <c r="C14" s="15">
        <v>86.05</v>
      </c>
      <c r="D14" s="15"/>
      <c r="E14" s="89">
        <v>11.56</v>
      </c>
      <c r="F14" s="15">
        <f>C14+E14</f>
        <v>97.61</v>
      </c>
      <c r="G14" s="84">
        <f>(5150*1.125*1.09)*F14*1.05*1.04*1.05</f>
        <v>706793.42311987514</v>
      </c>
      <c r="H14" s="90">
        <v>10</v>
      </c>
      <c r="I14" s="91" t="s">
        <v>93</v>
      </c>
      <c r="J14" s="30">
        <v>28.2</v>
      </c>
      <c r="K14" s="87">
        <f>(3000*1.09)*J14*1.05*1.04</f>
        <v>100697.68800000002</v>
      </c>
      <c r="L14" s="30">
        <f>F14+J14</f>
        <v>125.81</v>
      </c>
      <c r="M14" s="88">
        <f>(G14+K14)*1.05</f>
        <v>847865.66667586903</v>
      </c>
    </row>
    <row r="15" spans="1:13">
      <c r="A15" s="73" t="s">
        <v>109</v>
      </c>
      <c r="B15" s="158" t="s">
        <v>14</v>
      </c>
      <c r="C15" s="159">
        <v>83.16</v>
      </c>
      <c r="D15" s="159">
        <v>12.75</v>
      </c>
      <c r="E15" s="160">
        <v>11.69</v>
      </c>
      <c r="F15" s="15">
        <f>C15+E15+D15</f>
        <v>107.6</v>
      </c>
      <c r="G15" s="84">
        <f>(5300*1.125*1.09)*(F15-D15/1.7)*1.05*1.04*1.05</f>
        <v>745934.86217250023</v>
      </c>
      <c r="H15" s="85">
        <v>9</v>
      </c>
      <c r="I15" s="85" t="s">
        <v>93</v>
      </c>
      <c r="J15" s="82">
        <v>28.59</v>
      </c>
      <c r="K15" s="87">
        <f>(3000*1.09)*J15*1.05*1.04</f>
        <v>102090.31560000003</v>
      </c>
      <c r="L15" s="30">
        <f t="shared" ref="L15:L34" si="0">F15+J15</f>
        <v>136.19</v>
      </c>
      <c r="M15" s="88">
        <f>(G15+K15)*1.05</f>
        <v>890426.43666112539</v>
      </c>
    </row>
    <row r="16" spans="1:13">
      <c r="A16" s="121" t="s">
        <v>7</v>
      </c>
      <c r="B16" s="169" t="s">
        <v>15</v>
      </c>
      <c r="C16" s="170">
        <v>104.68</v>
      </c>
      <c r="D16" s="170">
        <v>55.81</v>
      </c>
      <c r="E16" s="171">
        <v>16.32</v>
      </c>
      <c r="F16" s="170">
        <f>C16+D16+E16</f>
        <v>176.81</v>
      </c>
      <c r="G16" s="172">
        <f>(5300*1.125*1.09)*(F16-D16/1.7)*1.05</f>
        <v>982535.23254044144</v>
      </c>
      <c r="H16" s="173" t="s">
        <v>47</v>
      </c>
      <c r="I16" s="173"/>
      <c r="J16" s="170">
        <v>39.880000000000003</v>
      </c>
      <c r="K16" s="174">
        <f>(3000*1.09)*J16*0.8*1.05</f>
        <v>109542.38400000002</v>
      </c>
      <c r="L16" s="175">
        <f t="shared" si="0"/>
        <v>216.69</v>
      </c>
      <c r="M16" s="122" t="s">
        <v>105</v>
      </c>
    </row>
    <row r="17" spans="1:20">
      <c r="A17" s="121" t="s">
        <v>8</v>
      </c>
      <c r="B17" s="169" t="s">
        <v>14</v>
      </c>
      <c r="C17" s="176">
        <v>84.98</v>
      </c>
      <c r="D17" s="176">
        <v>49.9</v>
      </c>
      <c r="E17" s="177">
        <v>13.43</v>
      </c>
      <c r="F17" s="170">
        <f>C17+D17+E17</f>
        <v>148.31</v>
      </c>
      <c r="G17" s="172">
        <f>(5350*1.125*1.09)*(F17-D17/1.7)*1.05</f>
        <v>819430.86707536783</v>
      </c>
      <c r="H17" s="178" t="s">
        <v>56</v>
      </c>
      <c r="I17" s="173" t="s">
        <v>93</v>
      </c>
      <c r="J17" s="179">
        <v>59.56</v>
      </c>
      <c r="K17" s="174">
        <f>(3000*1.09)*J17*0.8*1.05</f>
        <v>163599.40800000005</v>
      </c>
      <c r="L17" s="175">
        <f t="shared" si="0"/>
        <v>207.87</v>
      </c>
      <c r="M17" s="122" t="s">
        <v>105</v>
      </c>
    </row>
    <row r="18" spans="1:20">
      <c r="A18" s="121" t="s">
        <v>10</v>
      </c>
      <c r="B18" s="169" t="s">
        <v>15</v>
      </c>
      <c r="C18" s="170">
        <v>104.16</v>
      </c>
      <c r="D18" s="170">
        <v>55.64</v>
      </c>
      <c r="E18" s="171">
        <v>16.25</v>
      </c>
      <c r="F18" s="170">
        <f t="shared" ref="F18:F34" si="1">C18+D18+E18</f>
        <v>176.05</v>
      </c>
      <c r="G18" s="172">
        <f>(5350*1.125*1.09)*(F18-D18/1.7)*1.05</f>
        <v>987258.04965992668</v>
      </c>
      <c r="H18" s="173" t="s">
        <v>49</v>
      </c>
      <c r="I18" s="173"/>
      <c r="J18" s="170">
        <v>39.880000000000003</v>
      </c>
      <c r="K18" s="174">
        <f>(3000*1.09)*J18*0.8*1.05</f>
        <v>109542.38400000002</v>
      </c>
      <c r="L18" s="175">
        <f t="shared" si="0"/>
        <v>215.93</v>
      </c>
      <c r="M18" s="122" t="s">
        <v>105</v>
      </c>
    </row>
    <row r="19" spans="1:20">
      <c r="A19" s="212" t="s">
        <v>112</v>
      </c>
      <c r="B19" s="109" t="s">
        <v>14</v>
      </c>
      <c r="C19" s="117">
        <v>84.56</v>
      </c>
      <c r="D19" s="117"/>
      <c r="E19" s="110">
        <v>11.37</v>
      </c>
      <c r="F19" s="110">
        <f t="shared" si="1"/>
        <v>95.93</v>
      </c>
      <c r="G19" s="112">
        <f>(5250*1.125*1.09)*F19*1.05*1.04*1.05</f>
        <v>708116.4862931252</v>
      </c>
      <c r="H19" s="113">
        <v>8</v>
      </c>
      <c r="I19" s="113" t="s">
        <v>93</v>
      </c>
      <c r="J19" s="110">
        <v>31.46</v>
      </c>
      <c r="K19" s="114">
        <f>(3000*1.09)*J19*1.05*1.04</f>
        <v>112338.62640000002</v>
      </c>
      <c r="L19" s="30">
        <f t="shared" si="0"/>
        <v>127.39000000000001</v>
      </c>
      <c r="M19" s="116">
        <f>(G19+K19)*1.05</f>
        <v>861477.86832778156</v>
      </c>
      <c r="N19" s="70"/>
    </row>
    <row r="20" spans="1:20">
      <c r="A20" s="73" t="s">
        <v>26</v>
      </c>
      <c r="B20" s="82" t="s">
        <v>14</v>
      </c>
      <c r="C20" s="15">
        <v>86.05</v>
      </c>
      <c r="D20" s="15"/>
      <c r="E20" s="83">
        <v>11.56</v>
      </c>
      <c r="F20" s="15">
        <f t="shared" si="1"/>
        <v>97.61</v>
      </c>
      <c r="G20" s="84">
        <f>(5260*1.125*1.09)*F20*1.05*1.04*1.05</f>
        <v>721889.9816719502</v>
      </c>
      <c r="H20" s="90">
        <v>7</v>
      </c>
      <c r="I20" s="90" t="s">
        <v>93</v>
      </c>
      <c r="J20" s="15">
        <v>30.86</v>
      </c>
      <c r="K20" s="87">
        <f>(3000*1.09)*J20*1.05*1.04</f>
        <v>110196.12240000002</v>
      </c>
      <c r="L20" s="30">
        <f t="shared" si="0"/>
        <v>128.47</v>
      </c>
      <c r="M20" s="116">
        <f>(G20+K20)*1.05</f>
        <v>873690.40927554772</v>
      </c>
    </row>
    <row r="21" spans="1:20">
      <c r="A21" s="180" t="s">
        <v>27</v>
      </c>
      <c r="B21" s="169" t="s">
        <v>14</v>
      </c>
      <c r="C21" s="175">
        <v>83.16</v>
      </c>
      <c r="D21" s="175"/>
      <c r="E21" s="170">
        <v>11.18</v>
      </c>
      <c r="F21" s="170">
        <f t="shared" si="1"/>
        <v>94.34</v>
      </c>
      <c r="G21" s="172">
        <f>(5570*1.125*1.09)*F21*1.05</f>
        <v>676580.35961250018</v>
      </c>
      <c r="H21" s="178" t="s">
        <v>53</v>
      </c>
      <c r="I21" s="178"/>
      <c r="J21" s="169">
        <v>37.979999999999997</v>
      </c>
      <c r="K21" s="174">
        <f>(3000*1.09)*J21*1.05*0.8</f>
        <v>104323.46400000002</v>
      </c>
      <c r="L21" s="175">
        <f t="shared" si="0"/>
        <v>132.32</v>
      </c>
      <c r="M21" s="122" t="s">
        <v>105</v>
      </c>
      <c r="N21" s="63"/>
      <c r="O21" s="33"/>
      <c r="P21" s="32"/>
      <c r="Q21" s="34"/>
      <c r="R21" s="32"/>
      <c r="S21" s="35"/>
      <c r="T21" s="31"/>
    </row>
    <row r="22" spans="1:20">
      <c r="A22" s="121" t="s">
        <v>28</v>
      </c>
      <c r="B22" s="169" t="s">
        <v>15</v>
      </c>
      <c r="C22" s="170">
        <v>104.68</v>
      </c>
      <c r="D22" s="170"/>
      <c r="E22" s="171">
        <v>14.06</v>
      </c>
      <c r="F22" s="170">
        <f t="shared" si="1"/>
        <v>118.74000000000001</v>
      </c>
      <c r="G22" s="172">
        <f>(5430*1.125*1.09)*F22*1.05</f>
        <v>830166.47988750017</v>
      </c>
      <c r="H22" s="178" t="s">
        <v>50</v>
      </c>
      <c r="I22" s="178"/>
      <c r="J22" s="169">
        <v>37.979999999999997</v>
      </c>
      <c r="K22" s="174">
        <f>(3000*1.09)*J22*0.8*1.05</f>
        <v>104323.46400000001</v>
      </c>
      <c r="L22" s="175">
        <f t="shared" si="0"/>
        <v>156.72</v>
      </c>
      <c r="M22" s="122" t="s">
        <v>105</v>
      </c>
    </row>
    <row r="23" spans="1:20">
      <c r="A23" s="73" t="s">
        <v>29</v>
      </c>
      <c r="B23" s="82" t="s">
        <v>14</v>
      </c>
      <c r="C23" s="15">
        <v>84.98</v>
      </c>
      <c r="D23" s="15"/>
      <c r="E23" s="89">
        <v>11.41</v>
      </c>
      <c r="F23" s="15">
        <f t="shared" si="1"/>
        <v>96.39</v>
      </c>
      <c r="G23" s="84">
        <f>(5400*1.125*1.09*1.05)*F23*1.05*1.03*1.04*1.05</f>
        <v>791485.97145611199</v>
      </c>
      <c r="H23" s="90">
        <v>5</v>
      </c>
      <c r="I23" s="91" t="s">
        <v>93</v>
      </c>
      <c r="J23" s="86">
        <v>28.14</v>
      </c>
      <c r="K23" s="87">
        <f>(3000*1.09)*J23*1.05*1.04</f>
        <v>100483.43760000002</v>
      </c>
      <c r="L23" s="30">
        <f t="shared" si="0"/>
        <v>124.53</v>
      </c>
      <c r="M23" s="88">
        <f>(G23+K23)*1.05</f>
        <v>936567.87950891769</v>
      </c>
    </row>
    <row r="24" spans="1:20" ht="15.75" customHeight="1">
      <c r="A24" s="108" t="s">
        <v>30</v>
      </c>
      <c r="B24" s="109" t="s">
        <v>15</v>
      </c>
      <c r="C24" s="110">
        <v>104.16</v>
      </c>
      <c r="D24" s="110"/>
      <c r="E24" s="192">
        <v>14</v>
      </c>
      <c r="F24" s="110">
        <f t="shared" si="1"/>
        <v>118.16</v>
      </c>
      <c r="G24" s="112">
        <f>(5500*1.125*1.09*1.05)*F24*1.05*1.05*1.04*1.05</f>
        <v>1007401.8121917752</v>
      </c>
      <c r="H24" s="113" t="s">
        <v>51</v>
      </c>
      <c r="I24" s="113"/>
      <c r="J24" s="109">
        <v>37.979999999999997</v>
      </c>
      <c r="K24" s="114">
        <f>(3000*1.09)*J24*0.8*1.05*1.04</f>
        <v>108496.40256000002</v>
      </c>
      <c r="L24" s="30">
        <f t="shared" si="0"/>
        <v>156.13999999999999</v>
      </c>
      <c r="M24" s="88">
        <f>(G24+K24)*1.05</f>
        <v>1171693.1254893639</v>
      </c>
      <c r="N24" s="70"/>
    </row>
    <row r="25" spans="1:20">
      <c r="A25" s="121" t="s">
        <v>31</v>
      </c>
      <c r="B25" s="169" t="s">
        <v>14</v>
      </c>
      <c r="C25" s="170">
        <v>84.56</v>
      </c>
      <c r="D25" s="170"/>
      <c r="E25" s="181">
        <v>11.37</v>
      </c>
      <c r="F25" s="170">
        <f t="shared" si="1"/>
        <v>95.93</v>
      </c>
      <c r="G25" s="172">
        <f>(5500*1.125*1.09)*F25*1.05</f>
        <v>679337.28843750025</v>
      </c>
      <c r="H25" s="178">
        <v>4</v>
      </c>
      <c r="I25" s="178" t="s">
        <v>93</v>
      </c>
      <c r="J25" s="170">
        <v>28.52</v>
      </c>
      <c r="K25" s="174">
        <f>(3000*1.09)*J25*1.05</f>
        <v>97923.420000000013</v>
      </c>
      <c r="L25" s="175">
        <f t="shared" si="0"/>
        <v>124.45</v>
      </c>
      <c r="M25" s="122" t="s">
        <v>105</v>
      </c>
      <c r="N25" s="63"/>
      <c r="O25" s="33"/>
      <c r="P25" s="32"/>
      <c r="Q25" s="34"/>
      <c r="R25" s="32"/>
      <c r="S25" s="35"/>
      <c r="T25" s="31"/>
    </row>
    <row r="26" spans="1:20">
      <c r="A26" s="123" t="s">
        <v>32</v>
      </c>
      <c r="B26" s="169" t="s">
        <v>14</v>
      </c>
      <c r="C26" s="170">
        <v>86.05</v>
      </c>
      <c r="D26" s="170"/>
      <c r="E26" s="171">
        <v>11.56</v>
      </c>
      <c r="F26" s="170">
        <f t="shared" si="1"/>
        <v>97.61</v>
      </c>
      <c r="G26" s="172">
        <f>(5500*1.125*1.09)*F26*1.05</f>
        <v>691234.36593750014</v>
      </c>
      <c r="H26" s="178">
        <v>3</v>
      </c>
      <c r="I26" s="178" t="s">
        <v>93</v>
      </c>
      <c r="J26" s="170">
        <v>28.52</v>
      </c>
      <c r="K26" s="174">
        <f>(3000*1.09)*J26*1.05</f>
        <v>97923.420000000013</v>
      </c>
      <c r="L26" s="175">
        <f t="shared" si="0"/>
        <v>126.13</v>
      </c>
      <c r="M26" s="122" t="s">
        <v>105</v>
      </c>
      <c r="N26" s="31"/>
      <c r="O26" s="31"/>
      <c r="P26" s="31"/>
      <c r="Q26" s="31"/>
      <c r="R26" s="31"/>
      <c r="S26" s="31"/>
      <c r="T26" s="31"/>
    </row>
    <row r="27" spans="1:20">
      <c r="A27" s="225" t="s">
        <v>33</v>
      </c>
      <c r="B27" s="169" t="s">
        <v>14</v>
      </c>
      <c r="C27" s="175">
        <v>83.16</v>
      </c>
      <c r="D27" s="175"/>
      <c r="E27" s="181">
        <v>11.18</v>
      </c>
      <c r="F27" s="170">
        <f t="shared" si="1"/>
        <v>94.34</v>
      </c>
      <c r="G27" s="172">
        <f>(5570*1.125*1.09)*F27*1.05</f>
        <v>676580.35961250018</v>
      </c>
      <c r="H27" s="173">
        <v>6</v>
      </c>
      <c r="I27" s="173" t="s">
        <v>93</v>
      </c>
      <c r="J27" s="179">
        <v>28.14</v>
      </c>
      <c r="K27" s="174">
        <f>(3000*1.09)*J27*1.05</f>
        <v>96618.690000000017</v>
      </c>
      <c r="L27" s="175">
        <f t="shared" si="0"/>
        <v>122.48</v>
      </c>
      <c r="M27" s="122" t="s">
        <v>105</v>
      </c>
    </row>
    <row r="28" spans="1:20">
      <c r="A28" s="248" t="s">
        <v>108</v>
      </c>
      <c r="B28" s="169" t="s">
        <v>15</v>
      </c>
      <c r="C28" s="170">
        <v>104.68</v>
      </c>
      <c r="D28" s="170"/>
      <c r="E28" s="171">
        <v>14.06</v>
      </c>
      <c r="F28" s="170">
        <f t="shared" si="1"/>
        <v>118.74000000000001</v>
      </c>
      <c r="G28" s="172">
        <f>(5600*1.125*1.09)*F28*1.05*1.04*1.05</f>
        <v>934923.39922800031</v>
      </c>
      <c r="H28" s="173" t="s">
        <v>48</v>
      </c>
      <c r="I28" s="173"/>
      <c r="J28" s="169">
        <v>38.94</v>
      </c>
      <c r="K28" s="174">
        <f>(3000*1.09)*J28*0.8*1.05*1.04</f>
        <v>111238.80768000003</v>
      </c>
      <c r="L28" s="175">
        <f>F28+J28</f>
        <v>157.68</v>
      </c>
      <c r="M28" s="122" t="s">
        <v>105</v>
      </c>
    </row>
    <row r="29" spans="1:20">
      <c r="A29" s="123" t="s">
        <v>34</v>
      </c>
      <c r="B29" s="169" t="s">
        <v>14</v>
      </c>
      <c r="C29" s="176">
        <v>84.98</v>
      </c>
      <c r="D29" s="176"/>
      <c r="E29" s="177">
        <v>11.41</v>
      </c>
      <c r="F29" s="170">
        <f t="shared" si="1"/>
        <v>96.39</v>
      </c>
      <c r="G29" s="172">
        <f>(5550*1.125*1.09*1.05)*F29*1.05*1.03*1.04*1.05</f>
        <v>813471.69288544834</v>
      </c>
      <c r="H29" s="178" t="s">
        <v>58</v>
      </c>
      <c r="I29" s="173"/>
      <c r="J29" s="175">
        <v>39.880000000000003</v>
      </c>
      <c r="K29" s="174">
        <f>(3000*1.09)*J29*0.8*1.05*1.04</f>
        <v>113924.07936000002</v>
      </c>
      <c r="L29" s="175">
        <f t="shared" si="0"/>
        <v>136.27000000000001</v>
      </c>
      <c r="M29" s="122" t="s">
        <v>105</v>
      </c>
    </row>
    <row r="30" spans="1:20" ht="15" customHeight="1">
      <c r="A30" s="108" t="s">
        <v>35</v>
      </c>
      <c r="B30" s="109" t="s">
        <v>15</v>
      </c>
      <c r="C30" s="110">
        <v>104.16</v>
      </c>
      <c r="D30" s="110"/>
      <c r="E30" s="192">
        <v>14</v>
      </c>
      <c r="F30" s="110">
        <f>C30+D30+E30</f>
        <v>118.16</v>
      </c>
      <c r="G30" s="112">
        <f>(5700*1.125*1.09*1.05)*F30*1.05*1.05*1.04*1.05</f>
        <v>1044034.6053623855</v>
      </c>
      <c r="H30" s="113" t="s">
        <v>55</v>
      </c>
      <c r="I30" s="113"/>
      <c r="J30" s="109">
        <v>37.979999999999997</v>
      </c>
      <c r="K30" s="114">
        <f>(3000*1.09)*J30*0.8*1.05*1.04</f>
        <v>108496.40256000002</v>
      </c>
      <c r="L30" s="30">
        <f t="shared" si="0"/>
        <v>156.13999999999999</v>
      </c>
      <c r="M30" s="116">
        <f>(G30+K30)*1.05</f>
        <v>1210157.5583185048</v>
      </c>
    </row>
    <row r="31" spans="1:20">
      <c r="A31" s="121" t="s">
        <v>36</v>
      </c>
      <c r="B31" s="169" t="s">
        <v>14</v>
      </c>
      <c r="C31" s="170">
        <v>84.56</v>
      </c>
      <c r="D31" s="170"/>
      <c r="E31" s="181">
        <v>11.37</v>
      </c>
      <c r="F31" s="170">
        <f t="shared" si="1"/>
        <v>95.93</v>
      </c>
      <c r="G31" s="172">
        <f>(5660*1.125*1.09)*F31*1.05</f>
        <v>699099.82773750008</v>
      </c>
      <c r="H31" s="173" t="s">
        <v>52</v>
      </c>
      <c r="I31" s="173"/>
      <c r="J31" s="179">
        <v>38.94</v>
      </c>
      <c r="K31" s="174">
        <f>(3000*1.09)*J31*0.8*1.05</f>
        <v>106960.39200000002</v>
      </c>
      <c r="L31" s="175">
        <f t="shared" si="0"/>
        <v>134.87</v>
      </c>
      <c r="M31" s="122" t="s">
        <v>105</v>
      </c>
    </row>
    <row r="32" spans="1:20" ht="15" customHeight="1">
      <c r="A32" s="73" t="s">
        <v>11</v>
      </c>
      <c r="B32" s="82" t="s">
        <v>15</v>
      </c>
      <c r="C32" s="15">
        <v>135.32</v>
      </c>
      <c r="D32" s="15"/>
      <c r="E32" s="83">
        <v>18.190000000000001</v>
      </c>
      <c r="F32" s="15">
        <f t="shared" si="1"/>
        <v>153.51</v>
      </c>
      <c r="G32" s="84">
        <f>(5750*1.125*1.09*1.03)*F32*1.05*1.04*1.05</f>
        <v>1278299.7350742938</v>
      </c>
      <c r="H32" s="92" t="s">
        <v>59</v>
      </c>
      <c r="I32" s="92" t="s">
        <v>93</v>
      </c>
      <c r="J32" s="15">
        <v>52.68</v>
      </c>
      <c r="K32" s="87">
        <f>(3000*1.09)*J32*1.05*1.04</f>
        <v>188111.85120000006</v>
      </c>
      <c r="L32" s="30">
        <f t="shared" si="0"/>
        <v>206.19</v>
      </c>
      <c r="M32" s="88">
        <f>(G32+K32)*1.05</f>
        <v>1539732.1655880087</v>
      </c>
    </row>
    <row r="33" spans="1:20" ht="15" customHeight="1">
      <c r="A33" s="230" t="s">
        <v>5</v>
      </c>
      <c r="B33" s="169" t="s">
        <v>14</v>
      </c>
      <c r="C33" s="175">
        <v>84.98</v>
      </c>
      <c r="D33" s="175"/>
      <c r="E33" s="181">
        <v>11.41</v>
      </c>
      <c r="F33" s="170">
        <f t="shared" si="1"/>
        <v>96.39</v>
      </c>
      <c r="G33" s="172">
        <f>(5700*1.125*1.09*1.05)*F33*1.05*1.03*1.04*1.05</f>
        <v>835457.41431478504</v>
      </c>
      <c r="H33" s="178" t="s">
        <v>57</v>
      </c>
      <c r="I33" s="178"/>
      <c r="J33" s="170">
        <v>39.880000000000003</v>
      </c>
      <c r="K33" s="174">
        <f>(3000*1.09)*J33*0.8*1.05*1.04</f>
        <v>113924.07936000002</v>
      </c>
      <c r="L33" s="175">
        <f t="shared" si="0"/>
        <v>136.27000000000001</v>
      </c>
      <c r="M33" s="122" t="s">
        <v>105</v>
      </c>
    </row>
    <row r="34" spans="1:20">
      <c r="A34" s="123" t="s">
        <v>9</v>
      </c>
      <c r="B34" s="182" t="s">
        <v>15</v>
      </c>
      <c r="C34" s="170">
        <v>135.38999999999999</v>
      </c>
      <c r="D34" s="170"/>
      <c r="E34" s="181">
        <v>18.190000000000001</v>
      </c>
      <c r="F34" s="170">
        <f t="shared" si="1"/>
        <v>153.57999999999998</v>
      </c>
      <c r="G34" s="172">
        <f>(5750*1.125*1.09*1.03)*F34*1.05</f>
        <v>1171137.9442218749</v>
      </c>
      <c r="H34" s="178" t="s">
        <v>54</v>
      </c>
      <c r="I34" s="178" t="s">
        <v>93</v>
      </c>
      <c r="J34" s="170">
        <v>44.43</v>
      </c>
      <c r="K34" s="174">
        <f>(3000*1.09)*J34*0.8*1.05</f>
        <v>122040.32400000001</v>
      </c>
      <c r="L34" s="175">
        <f t="shared" si="0"/>
        <v>198.01</v>
      </c>
      <c r="M34" s="122" t="s">
        <v>105</v>
      </c>
    </row>
    <row r="35" spans="1:20">
      <c r="A35" s="28" t="s">
        <v>25</v>
      </c>
      <c r="B35" s="17"/>
      <c r="C35" s="20">
        <f>SUM(C14:C34)</f>
        <v>1998.46</v>
      </c>
      <c r="D35" s="18"/>
      <c r="E35" s="20">
        <f>SUM(E14:E34)</f>
        <v>275.57000000000005</v>
      </c>
      <c r="F35" s="18">
        <f>SUM(F14:F34)</f>
        <v>2448.13</v>
      </c>
      <c r="G35" s="20"/>
      <c r="H35" s="19"/>
      <c r="I35" s="17"/>
      <c r="J35" s="20">
        <f>SUM(J14:J34)</f>
        <v>778.42</v>
      </c>
      <c r="K35" s="20"/>
      <c r="L35" s="20">
        <f>SUM(L14:L34)</f>
        <v>3226.5499999999993</v>
      </c>
      <c r="M35" s="40">
        <f>SUM(M14:M34)</f>
        <v>8331611.1098451186</v>
      </c>
      <c r="N35" s="62"/>
    </row>
    <row r="37" spans="1:20">
      <c r="B37" s="5"/>
      <c r="C37" s="5"/>
      <c r="D37" s="60" t="s">
        <v>88</v>
      </c>
      <c r="E37" s="59" t="s">
        <v>4</v>
      </c>
      <c r="F37" s="60" t="s">
        <v>88</v>
      </c>
      <c r="G37" s="77"/>
      <c r="H37" s="6"/>
      <c r="I37" s="7"/>
      <c r="J37" s="4"/>
      <c r="K37" s="4"/>
      <c r="L37" s="7"/>
      <c r="M37" s="5"/>
    </row>
    <row r="38" spans="1:20">
      <c r="A38" s="56" t="s">
        <v>12</v>
      </c>
      <c r="B38" s="57" t="s">
        <v>13</v>
      </c>
      <c r="C38" s="57" t="s">
        <v>0</v>
      </c>
      <c r="D38" s="57" t="s">
        <v>87</v>
      </c>
      <c r="E38" s="56" t="s">
        <v>1</v>
      </c>
      <c r="F38" s="60" t="s">
        <v>86</v>
      </c>
      <c r="G38" s="78" t="s">
        <v>96</v>
      </c>
      <c r="H38" s="58" t="s">
        <v>6</v>
      </c>
      <c r="I38" s="58"/>
      <c r="J38" s="56" t="s">
        <v>2</v>
      </c>
      <c r="K38" s="56" t="s">
        <v>97</v>
      </c>
      <c r="L38" s="57" t="s">
        <v>70</v>
      </c>
      <c r="M38" s="57" t="s">
        <v>67</v>
      </c>
      <c r="N38" s="31"/>
      <c r="O38" s="31"/>
      <c r="P38" s="31"/>
      <c r="Q38" s="31"/>
      <c r="R38" s="31"/>
      <c r="S38" s="31"/>
      <c r="T38" s="31"/>
    </row>
    <row r="39" spans="1:20">
      <c r="A39" s="121" t="s">
        <v>16</v>
      </c>
      <c r="B39" s="169" t="s">
        <v>14</v>
      </c>
      <c r="C39" s="170">
        <v>86.05</v>
      </c>
      <c r="D39" s="170"/>
      <c r="E39" s="171">
        <v>11.56</v>
      </c>
      <c r="F39" s="170">
        <f>C39+E39</f>
        <v>97.61</v>
      </c>
      <c r="G39" s="172">
        <f>(5150*1.125*1.09)*F39*1.05*1.04</f>
        <v>673136.59344750014</v>
      </c>
      <c r="H39" s="178">
        <v>39</v>
      </c>
      <c r="I39" s="178"/>
      <c r="J39" s="169">
        <v>19.989999999999998</v>
      </c>
      <c r="K39" s="174">
        <f>(3000*1.09)*J39*1.05*1.04</f>
        <v>71381.091600000014</v>
      </c>
      <c r="L39" s="175">
        <f>F39+J39</f>
        <v>117.6</v>
      </c>
      <c r="M39" s="236" t="s">
        <v>110</v>
      </c>
      <c r="N39" s="31"/>
      <c r="O39" s="31"/>
      <c r="P39" s="31"/>
      <c r="Q39" s="31"/>
      <c r="R39" s="31"/>
      <c r="S39" s="31"/>
      <c r="T39" s="31"/>
    </row>
    <row r="40" spans="1:20">
      <c r="A40" s="123" t="s">
        <v>17</v>
      </c>
      <c r="B40" s="182" t="s">
        <v>14</v>
      </c>
      <c r="C40" s="176">
        <v>84.56</v>
      </c>
      <c r="D40" s="176"/>
      <c r="E40" s="177">
        <v>11.37</v>
      </c>
      <c r="F40" s="170">
        <f>C40+E40</f>
        <v>95.93</v>
      </c>
      <c r="G40" s="172">
        <f>(5380*1.125*1.09)*F40*1.05*1.04*1.05</f>
        <v>725650.79928705015</v>
      </c>
      <c r="H40" s="178">
        <v>58</v>
      </c>
      <c r="I40" s="178"/>
      <c r="J40" s="169">
        <v>19</v>
      </c>
      <c r="K40" s="174">
        <f>(3000*1.09)*J40*1.05*1.04</f>
        <v>67845.960000000006</v>
      </c>
      <c r="L40" s="175">
        <f>F40+J40</f>
        <v>114.93</v>
      </c>
      <c r="M40" s="236" t="s">
        <v>110</v>
      </c>
      <c r="N40" s="34"/>
      <c r="O40" s="34"/>
      <c r="P40" s="32"/>
      <c r="Q40" s="240"/>
      <c r="R40" s="241"/>
      <c r="S40" s="242"/>
      <c r="T40" s="31"/>
    </row>
    <row r="41" spans="1:20">
      <c r="A41" s="121" t="s">
        <v>18</v>
      </c>
      <c r="B41" s="169" t="s">
        <v>15</v>
      </c>
      <c r="C41" s="170">
        <v>104.16</v>
      </c>
      <c r="D41" s="170">
        <v>55.64</v>
      </c>
      <c r="E41" s="171">
        <v>16.25</v>
      </c>
      <c r="F41" s="170">
        <f>C41+D41+E41</f>
        <v>176.05</v>
      </c>
      <c r="G41" s="172">
        <f>(5350*1.125*1.09*1.07)*(F41-D41/1.7)*1.05*1.05</f>
        <v>1109184.4187929276</v>
      </c>
      <c r="H41" s="183" t="s">
        <v>61</v>
      </c>
      <c r="I41" s="183" t="s">
        <v>93</v>
      </c>
      <c r="J41" s="170">
        <v>57.04</v>
      </c>
      <c r="K41" s="174">
        <f>(3000*1.09)*J41*1.05</f>
        <v>195846.84000000003</v>
      </c>
      <c r="L41" s="175">
        <f t="shared" ref="L41:L61" si="2">F41+J41</f>
        <v>233.09</v>
      </c>
      <c r="M41" s="236" t="s">
        <v>110</v>
      </c>
      <c r="N41" s="31"/>
      <c r="O41" s="31"/>
      <c r="P41" s="31"/>
      <c r="Q41" s="31"/>
      <c r="R41" s="31"/>
      <c r="S41" s="31"/>
      <c r="T41" s="31"/>
    </row>
    <row r="42" spans="1:20" ht="15.75" customHeight="1">
      <c r="A42" s="121" t="s">
        <v>19</v>
      </c>
      <c r="B42" s="169" t="s">
        <v>14</v>
      </c>
      <c r="C42" s="176">
        <v>84.98</v>
      </c>
      <c r="D42" s="176">
        <v>36.630000000000003</v>
      </c>
      <c r="E42" s="177">
        <v>12.89</v>
      </c>
      <c r="F42" s="170">
        <f t="shared" ref="F42:F61" si="3">C42+D42+E42</f>
        <v>134.5</v>
      </c>
      <c r="G42" s="174">
        <f>(5350*1.125*1.09*1.07)*(F42-D42/2.5)*1.05*1.04</f>
        <v>918692.15850594011</v>
      </c>
      <c r="H42" s="184">
        <v>37</v>
      </c>
      <c r="I42" s="184"/>
      <c r="J42" s="179">
        <v>19.989999999999998</v>
      </c>
      <c r="K42" s="174">
        <f>(3000*1.09)*J42*1.05</f>
        <v>68635.665000000008</v>
      </c>
      <c r="L42" s="175">
        <f t="shared" si="2"/>
        <v>154.49</v>
      </c>
      <c r="M42" s="236" t="s">
        <v>105</v>
      </c>
      <c r="N42" s="31"/>
      <c r="O42" s="31"/>
      <c r="P42" s="31"/>
      <c r="Q42" s="31"/>
      <c r="R42" s="31"/>
      <c r="S42" s="31"/>
      <c r="T42" s="31"/>
    </row>
    <row r="43" spans="1:20" ht="6.75" hidden="1" customHeight="1">
      <c r="A43" s="140" t="s">
        <v>20</v>
      </c>
      <c r="B43" s="141" t="s">
        <v>15</v>
      </c>
      <c r="C43" s="144"/>
      <c r="D43" s="144"/>
      <c r="E43" s="148"/>
      <c r="F43" s="144">
        <f t="shared" si="3"/>
        <v>0</v>
      </c>
      <c r="G43" s="145">
        <f t="shared" ref="G43:G44" si="4">(5350*1.125*1.09*1.07)*(F43-D43/2.5)</f>
        <v>0</v>
      </c>
      <c r="H43" s="149">
        <v>37</v>
      </c>
      <c r="I43" s="149"/>
      <c r="J43" s="141"/>
      <c r="K43" s="145">
        <f t="shared" ref="K43:K44" si="5">(3000*1.09)*J43</f>
        <v>0</v>
      </c>
      <c r="L43" s="115">
        <f t="shared" si="2"/>
        <v>0</v>
      </c>
      <c r="M43" s="237">
        <f t="shared" ref="M43:M44" si="6">(G43+K43)*1.04</f>
        <v>0</v>
      </c>
      <c r="N43" s="31"/>
      <c r="O43" s="31"/>
      <c r="P43" s="31"/>
      <c r="Q43" s="31"/>
      <c r="R43" s="31"/>
      <c r="S43" s="31"/>
      <c r="T43" s="31"/>
    </row>
    <row r="44" spans="1:20" hidden="1">
      <c r="A44" s="150" t="s">
        <v>21</v>
      </c>
      <c r="B44" s="141" t="s">
        <v>14</v>
      </c>
      <c r="C44" s="142"/>
      <c r="D44" s="142"/>
      <c r="E44" s="143"/>
      <c r="F44" s="144">
        <f t="shared" si="3"/>
        <v>0</v>
      </c>
      <c r="G44" s="145">
        <f t="shared" si="4"/>
        <v>0</v>
      </c>
      <c r="H44" s="146" t="s">
        <v>61</v>
      </c>
      <c r="I44" s="146"/>
      <c r="J44" s="147"/>
      <c r="K44" s="145">
        <f t="shared" si="5"/>
        <v>0</v>
      </c>
      <c r="L44" s="115">
        <f t="shared" si="2"/>
        <v>0</v>
      </c>
      <c r="M44" s="237">
        <f t="shared" si="6"/>
        <v>0</v>
      </c>
      <c r="N44" s="31"/>
      <c r="O44" s="31"/>
      <c r="P44" s="31"/>
      <c r="Q44" s="31"/>
      <c r="R44" s="31"/>
      <c r="S44" s="31"/>
      <c r="T44" s="31"/>
    </row>
    <row r="45" spans="1:20" ht="15" customHeight="1">
      <c r="A45" s="121" t="s">
        <v>20</v>
      </c>
      <c r="B45" s="169" t="s">
        <v>15</v>
      </c>
      <c r="C45" s="170">
        <v>104.68</v>
      </c>
      <c r="D45" s="170">
        <v>26.64</v>
      </c>
      <c r="E45" s="171">
        <v>15.15</v>
      </c>
      <c r="F45" s="170">
        <f t="shared" si="3"/>
        <v>146.47</v>
      </c>
      <c r="G45" s="174">
        <f>(5350*1.125*1.09*1.07)*(F45-D45/2.5)*1.05*1.04</f>
        <v>1041079.1737477953</v>
      </c>
      <c r="H45" s="184" t="s">
        <v>111</v>
      </c>
      <c r="I45" s="184"/>
      <c r="J45" s="170">
        <v>38</v>
      </c>
      <c r="K45" s="174">
        <f>(3000*1.09)*J45*1.05*1.04</f>
        <v>135691.92000000001</v>
      </c>
      <c r="L45" s="175">
        <f t="shared" si="2"/>
        <v>184.47</v>
      </c>
      <c r="M45" s="236" t="s">
        <v>110</v>
      </c>
      <c r="N45" s="31"/>
      <c r="O45" s="31"/>
      <c r="P45" s="31"/>
      <c r="Q45" s="31"/>
      <c r="R45" s="31"/>
      <c r="S45" s="31"/>
      <c r="T45" s="31"/>
    </row>
    <row r="46" spans="1:20" ht="15.75" customHeight="1">
      <c r="A46" s="121" t="s">
        <v>21</v>
      </c>
      <c r="B46" s="169" t="s">
        <v>14</v>
      </c>
      <c r="C46" s="176">
        <v>83.16</v>
      </c>
      <c r="D46" s="176" t="s">
        <v>71</v>
      </c>
      <c r="E46" s="177">
        <v>11.18</v>
      </c>
      <c r="F46" s="170">
        <f>C46+E46</f>
        <v>94.34</v>
      </c>
      <c r="G46" s="174">
        <f>(5570*1.125*1.09)*F46*1.05*1.04</f>
        <v>703643.57399700023</v>
      </c>
      <c r="H46" s="184">
        <v>56</v>
      </c>
      <c r="I46" s="184"/>
      <c r="J46" s="179">
        <v>19.96</v>
      </c>
      <c r="K46" s="174">
        <f>(3000*1.09)*J46*1.05*1.04</f>
        <v>71273.966400000019</v>
      </c>
      <c r="L46" s="175">
        <f t="shared" si="2"/>
        <v>114.30000000000001</v>
      </c>
      <c r="M46" s="236" t="s">
        <v>110</v>
      </c>
      <c r="N46" s="31"/>
      <c r="O46" s="31"/>
      <c r="P46" s="31"/>
      <c r="Q46" s="31"/>
      <c r="R46" s="31"/>
      <c r="S46" s="31"/>
      <c r="T46" s="31"/>
    </row>
    <row r="47" spans="1:20">
      <c r="A47" s="8" t="s">
        <v>37</v>
      </c>
      <c r="B47" s="16" t="s">
        <v>14</v>
      </c>
      <c r="C47" s="13">
        <v>86.05</v>
      </c>
      <c r="D47" s="13"/>
      <c r="E47" s="111">
        <v>11.56</v>
      </c>
      <c r="F47" s="13">
        <f t="shared" si="3"/>
        <v>97.61</v>
      </c>
      <c r="G47" s="84">
        <f>(5430*1.125*1.09)*F47*1.05*1.04*1.05</f>
        <v>745221.02670697507</v>
      </c>
      <c r="H47" s="85">
        <v>40</v>
      </c>
      <c r="I47" s="85"/>
      <c r="J47" s="15">
        <v>19.989999999999998</v>
      </c>
      <c r="K47" s="87">
        <f>(3000*1.09)*J47*1.05*1.04</f>
        <v>71381.091600000014</v>
      </c>
      <c r="L47" s="30">
        <f t="shared" si="2"/>
        <v>117.6</v>
      </c>
      <c r="M47" s="238">
        <f>(G47+K47)*1.05</f>
        <v>857432.22422232386</v>
      </c>
      <c r="N47" s="34"/>
      <c r="O47" s="34"/>
      <c r="P47" s="33"/>
      <c r="Q47" s="240"/>
      <c r="R47" s="241"/>
      <c r="S47" s="242"/>
      <c r="T47" s="31"/>
    </row>
    <row r="48" spans="1:20">
      <c r="A48" s="121" t="s">
        <v>38</v>
      </c>
      <c r="B48" s="169" t="s">
        <v>14</v>
      </c>
      <c r="C48" s="176">
        <v>84.56</v>
      </c>
      <c r="D48" s="176"/>
      <c r="E48" s="177">
        <v>11.37</v>
      </c>
      <c r="F48" s="170">
        <f t="shared" si="3"/>
        <v>95.93</v>
      </c>
      <c r="G48" s="174">
        <f>(5400*1.125*1.09)*F48*1.05</f>
        <v>666985.70137500018</v>
      </c>
      <c r="H48" s="173">
        <v>63</v>
      </c>
      <c r="I48" s="173"/>
      <c r="J48" s="175">
        <v>19.46</v>
      </c>
      <c r="K48" s="174">
        <f t="shared" ref="K48:K52" si="7">(3000*1.09)*J48*1.05</f>
        <v>66815.910000000018</v>
      </c>
      <c r="L48" s="175">
        <f t="shared" si="2"/>
        <v>115.39000000000001</v>
      </c>
      <c r="M48" s="236" t="s">
        <v>110</v>
      </c>
      <c r="N48" s="31"/>
      <c r="O48" s="31"/>
      <c r="P48" s="31"/>
      <c r="Q48" s="31"/>
      <c r="R48" s="31"/>
      <c r="S48" s="31"/>
      <c r="T48" s="31"/>
    </row>
    <row r="49" spans="1:28">
      <c r="A49" s="8" t="s">
        <v>39</v>
      </c>
      <c r="B49" s="11" t="s">
        <v>15</v>
      </c>
      <c r="C49" s="13">
        <v>104.16</v>
      </c>
      <c r="D49" s="13"/>
      <c r="E49" s="222">
        <v>14</v>
      </c>
      <c r="F49" s="13">
        <f t="shared" si="3"/>
        <v>118.16</v>
      </c>
      <c r="G49" s="81">
        <f>(5500*1.125*1.09*1.07)*F49*1.05*1.05*1.04</f>
        <v>977705.16013170034</v>
      </c>
      <c r="H49" s="64" t="s">
        <v>62</v>
      </c>
      <c r="I49" s="64" t="s">
        <v>93</v>
      </c>
      <c r="J49" s="11">
        <v>56.28</v>
      </c>
      <c r="K49" s="81">
        <f>(3000*1.09)*J49*1.05*1.04</f>
        <v>200966.87520000004</v>
      </c>
      <c r="L49" s="115">
        <f t="shared" si="2"/>
        <v>174.44</v>
      </c>
      <c r="M49" s="237">
        <f>(G49+K49)*1.05</f>
        <v>1237605.6370982856</v>
      </c>
      <c r="N49" s="31"/>
      <c r="O49" s="31"/>
      <c r="P49" s="31"/>
      <c r="Q49" s="31"/>
      <c r="R49" s="31"/>
      <c r="S49" s="31"/>
      <c r="T49" s="31"/>
    </row>
    <row r="50" spans="1:28" ht="15.75" customHeight="1">
      <c r="A50" s="151" t="s">
        <v>40</v>
      </c>
      <c r="B50" s="109" t="s">
        <v>14</v>
      </c>
      <c r="C50" s="117">
        <v>84.98</v>
      </c>
      <c r="D50" s="117"/>
      <c r="E50" s="118">
        <v>11.41</v>
      </c>
      <c r="F50" s="110">
        <f t="shared" si="3"/>
        <v>96.39</v>
      </c>
      <c r="G50" s="114">
        <f>(5500*1.125*1.09*1.05)*F50*1.05*1.04*1.04*1.05</f>
        <v>813969.75129970524</v>
      </c>
      <c r="H50" s="119">
        <v>62</v>
      </c>
      <c r="I50" s="119"/>
      <c r="J50" s="120">
        <v>19.96</v>
      </c>
      <c r="K50" s="114">
        <f>(3000*1.09)*J50*1.05*1.04</f>
        <v>71273.966400000019</v>
      </c>
      <c r="L50" s="115">
        <f t="shared" si="2"/>
        <v>116.35</v>
      </c>
      <c r="M50" s="237">
        <f>(G50+K50)*1.05</f>
        <v>929505.90358469053</v>
      </c>
      <c r="N50" s="31"/>
      <c r="O50" s="31"/>
      <c r="P50" s="31"/>
      <c r="Q50" s="31"/>
      <c r="R50" s="31"/>
      <c r="S50" s="31"/>
      <c r="T50" s="31"/>
    </row>
    <row r="51" spans="1:28">
      <c r="A51" s="108" t="s">
        <v>114</v>
      </c>
      <c r="B51" s="109" t="s">
        <v>15</v>
      </c>
      <c r="C51" s="110">
        <v>104.68</v>
      </c>
      <c r="D51" s="110"/>
      <c r="E51" s="111">
        <v>14.06</v>
      </c>
      <c r="F51" s="110">
        <f t="shared" si="3"/>
        <v>118.74000000000001</v>
      </c>
      <c r="G51" s="114">
        <f>(5500*1.125*1.09*1.07)*F51*1.05*1.05*1.04</f>
        <v>982504.32222442538</v>
      </c>
      <c r="H51" s="119" t="s">
        <v>63</v>
      </c>
      <c r="I51" s="119" t="s">
        <v>93</v>
      </c>
      <c r="J51" s="110">
        <v>65.599999999999994</v>
      </c>
      <c r="K51" s="114">
        <f>(3000*1.09)*J51*1.05*1.04</f>
        <v>234247.10400000002</v>
      </c>
      <c r="L51" s="115">
        <f t="shared" si="2"/>
        <v>184.34</v>
      </c>
      <c r="M51" s="237">
        <f>(G51+K51)*1.05</f>
        <v>1277588.9975356467</v>
      </c>
      <c r="N51" s="63"/>
      <c r="O51" s="32"/>
      <c r="P51" s="34"/>
      <c r="Q51" s="32"/>
      <c r="R51" s="35"/>
      <c r="S51" s="31"/>
      <c r="T51" s="31"/>
    </row>
    <row r="52" spans="1:28">
      <c r="A52" s="121" t="s">
        <v>41</v>
      </c>
      <c r="B52" s="169" t="s">
        <v>14</v>
      </c>
      <c r="C52" s="170">
        <v>83.16</v>
      </c>
      <c r="D52" s="170"/>
      <c r="E52" s="177">
        <v>11.18</v>
      </c>
      <c r="F52" s="170">
        <f t="shared" si="3"/>
        <v>94.34</v>
      </c>
      <c r="G52" s="172">
        <f>(5570*1.125*1.09)*F52*1.05</f>
        <v>676580.35961250018</v>
      </c>
      <c r="H52" s="178">
        <v>61</v>
      </c>
      <c r="I52" s="173"/>
      <c r="J52" s="179">
        <v>19.96</v>
      </c>
      <c r="K52" s="174">
        <f t="shared" si="7"/>
        <v>68532.660000000018</v>
      </c>
      <c r="L52" s="175">
        <f t="shared" si="2"/>
        <v>114.30000000000001</v>
      </c>
      <c r="M52" s="236" t="s">
        <v>110</v>
      </c>
      <c r="N52" s="31"/>
      <c r="O52" s="31"/>
      <c r="P52" s="31"/>
      <c r="Q52" s="31"/>
      <c r="R52" s="31"/>
      <c r="S52" s="31"/>
      <c r="T52" s="31"/>
    </row>
    <row r="53" spans="1:28">
      <c r="A53" s="121" t="s">
        <v>42</v>
      </c>
      <c r="B53" s="179" t="s">
        <v>14</v>
      </c>
      <c r="C53" s="170">
        <v>86.05</v>
      </c>
      <c r="D53" s="170"/>
      <c r="E53" s="177">
        <v>11.56</v>
      </c>
      <c r="F53" s="170">
        <f t="shared" si="3"/>
        <v>97.61</v>
      </c>
      <c r="G53" s="174">
        <f>(5600*1.125*1.09)*F53*1.05</f>
        <v>703802.26350000012</v>
      </c>
      <c r="H53" s="173">
        <v>53</v>
      </c>
      <c r="I53" s="173"/>
      <c r="J53" s="170">
        <v>26.43</v>
      </c>
      <c r="K53" s="174">
        <f>(3000*1.09)*J53*1.05</f>
        <v>90747.405000000013</v>
      </c>
      <c r="L53" s="175">
        <f t="shared" si="2"/>
        <v>124.03999999999999</v>
      </c>
      <c r="M53" s="236" t="s">
        <v>110</v>
      </c>
      <c r="N53" s="31"/>
      <c r="O53" s="31"/>
      <c r="P53" s="31"/>
      <c r="Q53" s="31"/>
      <c r="R53" s="31"/>
      <c r="S53" s="31"/>
      <c r="T53" s="31"/>
    </row>
    <row r="54" spans="1:28">
      <c r="A54" s="8" t="s">
        <v>43</v>
      </c>
      <c r="B54" s="11" t="s">
        <v>14</v>
      </c>
      <c r="C54" s="9">
        <v>84.56</v>
      </c>
      <c r="D54" s="9"/>
      <c r="E54" s="10">
        <v>11.37</v>
      </c>
      <c r="F54" s="13">
        <f t="shared" si="3"/>
        <v>95.93</v>
      </c>
      <c r="G54" s="80">
        <f>(5550*1.125*1.09)*F54*1.05*1.04*1.05</f>
        <v>748580.28550987528</v>
      </c>
      <c r="H54" s="85">
        <v>38</v>
      </c>
      <c r="I54" s="191"/>
      <c r="J54" s="30">
        <v>19.989999999999998</v>
      </c>
      <c r="K54" s="87">
        <f>(3000*1.09)*J54*1.05*1.04</f>
        <v>71381.091600000014</v>
      </c>
      <c r="L54" s="30">
        <f t="shared" si="2"/>
        <v>115.92</v>
      </c>
      <c r="M54" s="238">
        <f>(G54+K54)*1.05</f>
        <v>860959.44596536912</v>
      </c>
      <c r="N54" s="34"/>
      <c r="O54" s="34"/>
      <c r="P54" s="33"/>
      <c r="Q54" s="240"/>
      <c r="R54" s="241"/>
      <c r="S54" s="242"/>
      <c r="T54" s="31"/>
    </row>
    <row r="55" spans="1:28">
      <c r="A55" s="121" t="s">
        <v>44</v>
      </c>
      <c r="B55" s="169" t="s">
        <v>15</v>
      </c>
      <c r="C55" s="170">
        <v>104.16</v>
      </c>
      <c r="D55" s="170"/>
      <c r="E55" s="181">
        <v>14</v>
      </c>
      <c r="F55" s="170">
        <f t="shared" si="3"/>
        <v>118.16</v>
      </c>
      <c r="G55" s="174">
        <f>(5700*1.125*1.09*1.07)*F55*1.05*1.05</f>
        <v>974286.61062075023</v>
      </c>
      <c r="H55" s="184" t="s">
        <v>64</v>
      </c>
      <c r="I55" s="184" t="s">
        <v>93</v>
      </c>
      <c r="J55" s="170">
        <v>55.49</v>
      </c>
      <c r="K55" s="174">
        <f t="shared" ref="K55:K58" si="8">(3000*1.09)*J55*1.05</f>
        <v>190524.91500000004</v>
      </c>
      <c r="L55" s="175">
        <f t="shared" si="2"/>
        <v>173.65</v>
      </c>
      <c r="M55" s="236" t="s">
        <v>110</v>
      </c>
      <c r="N55" s="31"/>
      <c r="O55" s="31"/>
      <c r="P55" s="31"/>
      <c r="Q55" s="31"/>
      <c r="R55" s="31"/>
      <c r="S55" s="31"/>
      <c r="T55" s="31"/>
    </row>
    <row r="56" spans="1:28">
      <c r="A56" s="213" t="s">
        <v>113</v>
      </c>
      <c r="B56" s="214" t="s">
        <v>14</v>
      </c>
      <c r="C56" s="215">
        <v>84.98</v>
      </c>
      <c r="D56" s="215"/>
      <c r="E56" s="216">
        <v>11.41</v>
      </c>
      <c r="F56" s="217">
        <f t="shared" si="3"/>
        <v>96.39</v>
      </c>
      <c r="G56" s="218">
        <f>(5660*1.125*1.09*1.05)*F56*1.05*1.04*1.04*1.05</f>
        <v>837648.87133751484</v>
      </c>
      <c r="H56" s="219">
        <v>47</v>
      </c>
      <c r="I56" s="219"/>
      <c r="J56" s="217">
        <v>31.46</v>
      </c>
      <c r="K56" s="218">
        <f>(3000*1.09)*J56*1.05*1.04</f>
        <v>112338.62640000002</v>
      </c>
      <c r="L56" s="115">
        <f t="shared" si="2"/>
        <v>127.85</v>
      </c>
      <c r="M56" s="237">
        <f>(G56+K56)*1.05</f>
        <v>997486.87262439064</v>
      </c>
      <c r="N56" s="31"/>
      <c r="O56" s="31"/>
      <c r="P56" s="31"/>
      <c r="Q56" s="31"/>
      <c r="R56" s="31"/>
      <c r="S56" s="31"/>
    </row>
    <row r="57" spans="1:28">
      <c r="A57" s="220" t="s">
        <v>45</v>
      </c>
      <c r="B57" s="214" t="s">
        <v>15</v>
      </c>
      <c r="C57" s="217">
        <v>104.68</v>
      </c>
      <c r="D57" s="217"/>
      <c r="E57" s="221">
        <v>14.06</v>
      </c>
      <c r="F57" s="217">
        <f t="shared" si="3"/>
        <v>118.74000000000001</v>
      </c>
      <c r="G57" s="218">
        <f>(5750*1.125*1.09*1.07)*F57*1.05*1.05*1.04</f>
        <v>1027163.6095982628</v>
      </c>
      <c r="H57" s="219" t="s">
        <v>65</v>
      </c>
      <c r="I57" s="219" t="s">
        <v>93</v>
      </c>
      <c r="J57" s="217">
        <v>59.77</v>
      </c>
      <c r="K57" s="218">
        <f>(3000*1.09)*J57*1.05*1.04</f>
        <v>213429.10680000004</v>
      </c>
      <c r="L57" s="115">
        <f t="shared" si="2"/>
        <v>178.51000000000002</v>
      </c>
      <c r="M57" s="237">
        <f>(G57+K57)*1.05</f>
        <v>1302622.352218176</v>
      </c>
      <c r="N57" s="31"/>
      <c r="O57" s="31"/>
      <c r="P57" s="31"/>
      <c r="Q57" s="31"/>
      <c r="R57" s="31"/>
      <c r="S57" s="31"/>
    </row>
    <row r="58" spans="1:28" ht="16.5" customHeight="1">
      <c r="A58" s="121" t="s">
        <v>46</v>
      </c>
      <c r="B58" s="169" t="s">
        <v>14</v>
      </c>
      <c r="C58" s="170">
        <v>83.16</v>
      </c>
      <c r="D58" s="170"/>
      <c r="E58" s="177">
        <v>11.18</v>
      </c>
      <c r="F58" s="170">
        <f t="shared" si="3"/>
        <v>94.34</v>
      </c>
      <c r="G58" s="172">
        <f>(5600*1.125*1.09)*F58*1.05</f>
        <v>680224.41900000023</v>
      </c>
      <c r="H58" s="183">
        <v>57</v>
      </c>
      <c r="I58" s="184"/>
      <c r="J58" s="175">
        <v>19</v>
      </c>
      <c r="K58" s="174">
        <f t="shared" si="8"/>
        <v>65236.500000000007</v>
      </c>
      <c r="L58" s="175">
        <f t="shared" si="2"/>
        <v>113.34</v>
      </c>
      <c r="M58" s="236" t="s">
        <v>110</v>
      </c>
      <c r="N58" s="243"/>
      <c r="O58" s="31"/>
      <c r="P58" s="31"/>
      <c r="Q58" s="31"/>
      <c r="R58" s="31"/>
      <c r="S58" s="31"/>
    </row>
    <row r="59" spans="1:28">
      <c r="A59" s="12" t="s">
        <v>22</v>
      </c>
      <c r="B59" s="11" t="s">
        <v>15</v>
      </c>
      <c r="C59" s="9">
        <v>135.38999999999999</v>
      </c>
      <c r="D59" s="9"/>
      <c r="E59" s="14">
        <v>18.190000000000001</v>
      </c>
      <c r="F59" s="13">
        <f t="shared" si="3"/>
        <v>153.57999999999998</v>
      </c>
      <c r="G59" s="80">
        <f>(5750*1.125*1.09*1.03)*F59*1.05*1.03*1.04</f>
        <v>1254522.9658504725</v>
      </c>
      <c r="H59" s="65" t="s">
        <v>78</v>
      </c>
      <c r="I59" s="65" t="s">
        <v>93</v>
      </c>
      <c r="J59" s="13">
        <v>59.22</v>
      </c>
      <c r="K59" s="81">
        <f>(3000*1.09)*J59*1.05*1.04</f>
        <v>211465.14480000004</v>
      </c>
      <c r="L59" s="115">
        <f t="shared" si="2"/>
        <v>212.79999999999998</v>
      </c>
      <c r="M59" s="237">
        <f>(G59+K59)*1.05</f>
        <v>1539287.5161829963</v>
      </c>
      <c r="N59" s="31"/>
      <c r="O59" s="31"/>
      <c r="P59" s="31"/>
      <c r="Q59" s="31"/>
      <c r="R59" s="31"/>
      <c r="S59" s="31"/>
      <c r="AB59" t="s">
        <v>101</v>
      </c>
    </row>
    <row r="60" spans="1:28">
      <c r="A60" s="151" t="s">
        <v>23</v>
      </c>
      <c r="B60" s="109" t="s">
        <v>14</v>
      </c>
      <c r="C60" s="110">
        <v>84.98</v>
      </c>
      <c r="D60" s="110"/>
      <c r="E60" s="192">
        <v>11.41</v>
      </c>
      <c r="F60" s="110">
        <f t="shared" si="3"/>
        <v>96.39</v>
      </c>
      <c r="G60" s="112">
        <f>(5760*1.125*1.09*1.05)*F60*1.05*1.03*1.04*1.05</f>
        <v>844251.70288651949</v>
      </c>
      <c r="H60" s="231" t="s">
        <v>122</v>
      </c>
      <c r="I60" s="231" t="s">
        <v>93</v>
      </c>
      <c r="J60" s="82">
        <v>41.99</v>
      </c>
      <c r="K60" s="87">
        <f>(J60*3000*1.09*0.8*1.05)*1.04</f>
        <v>119951.65728000003</v>
      </c>
      <c r="L60" s="30">
        <f t="shared" si="2"/>
        <v>138.38</v>
      </c>
      <c r="M60" s="238">
        <f>(G60+K60)*1.05</f>
        <v>1012413.5281748455</v>
      </c>
      <c r="N60" s="244"/>
      <c r="O60" s="244"/>
      <c r="P60" s="245"/>
      <c r="Q60" s="246"/>
      <c r="R60" s="241"/>
      <c r="S60" s="242"/>
      <c r="AA60" t="s">
        <v>102</v>
      </c>
    </row>
    <row r="61" spans="1:28">
      <c r="A61" s="151" t="s">
        <v>24</v>
      </c>
      <c r="B61" s="193" t="s">
        <v>15</v>
      </c>
      <c r="C61" s="110">
        <v>135.32</v>
      </c>
      <c r="D61" s="192"/>
      <c r="E61" s="192">
        <v>18.190000000000001</v>
      </c>
      <c r="F61" s="110">
        <f t="shared" si="3"/>
        <v>153.51</v>
      </c>
      <c r="G61" s="194">
        <f>(5750*1.125*1.09*1.03)*F61*1.05*1.03*1.04</f>
        <v>1253951.1686919262</v>
      </c>
      <c r="H61" s="195" t="s">
        <v>66</v>
      </c>
      <c r="I61" s="195" t="s">
        <v>93</v>
      </c>
      <c r="J61" s="109">
        <v>60.06</v>
      </c>
      <c r="K61" s="114">
        <f>(3000*1.09)*J61*1.05*1.04</f>
        <v>214464.65040000004</v>
      </c>
      <c r="L61" s="115">
        <f t="shared" si="2"/>
        <v>213.57</v>
      </c>
      <c r="M61" s="237">
        <f>(G61+K61)*1.05</f>
        <v>1541836.6100465227</v>
      </c>
      <c r="N61" s="31"/>
      <c r="O61" s="31"/>
      <c r="P61" s="31"/>
      <c r="Q61" s="31"/>
      <c r="R61" s="31"/>
      <c r="S61" s="31"/>
    </row>
    <row r="62" spans="1:28">
      <c r="A62" s="29" t="s">
        <v>25</v>
      </c>
      <c r="B62" s="24"/>
      <c r="C62" s="26">
        <f>SUM(C39:C61)</f>
        <v>1998.4600000000003</v>
      </c>
      <c r="D62" s="25"/>
      <c r="E62" s="26">
        <f>SUM(E39:E61)</f>
        <v>273.35000000000002</v>
      </c>
      <c r="F62" s="72">
        <f>SUM(F39:F61)</f>
        <v>2390.7200000000003</v>
      </c>
      <c r="G62" s="72"/>
      <c r="H62" s="25"/>
      <c r="I62" s="25"/>
      <c r="J62" s="26">
        <f>SUM(J39:J61)</f>
        <v>748.6400000000001</v>
      </c>
      <c r="K62" s="26"/>
      <c r="L62" s="26">
        <f>SUM(L39:L61)</f>
        <v>3139.3600000000006</v>
      </c>
      <c r="M62" s="239">
        <f>SUM(M39:M61)</f>
        <v>11556739.087653248</v>
      </c>
      <c r="N62" s="31"/>
      <c r="O62" s="31"/>
      <c r="P62" s="31"/>
      <c r="Q62" s="31"/>
      <c r="R62" s="31"/>
      <c r="S62" s="31"/>
    </row>
    <row r="63" spans="1:28">
      <c r="N63" s="31"/>
      <c r="O63" s="31"/>
      <c r="P63" s="31"/>
      <c r="Q63" s="31"/>
      <c r="R63" s="31"/>
      <c r="S63" s="31"/>
    </row>
    <row r="64" spans="1:28">
      <c r="F64" s="95" t="s">
        <v>98</v>
      </c>
      <c r="G64" s="69"/>
      <c r="H64" s="69"/>
      <c r="I64" s="69"/>
      <c r="J64" s="69"/>
      <c r="M64" s="104" t="s">
        <v>100</v>
      </c>
      <c r="N64" s="31"/>
      <c r="O64" s="31"/>
      <c r="P64" s="31"/>
      <c r="Q64" s="31"/>
      <c r="R64" s="31"/>
      <c r="S64" s="31"/>
    </row>
    <row r="65" spans="1:23">
      <c r="B65" s="253" t="s">
        <v>99</v>
      </c>
      <c r="C65" s="253"/>
      <c r="F65" s="95" t="s">
        <v>117</v>
      </c>
      <c r="G65" s="69"/>
      <c r="H65" s="69"/>
      <c r="I65" s="69"/>
      <c r="J65" s="69"/>
      <c r="M65" s="106" t="s">
        <v>106</v>
      </c>
      <c r="N65" s="31"/>
      <c r="O65" s="31"/>
      <c r="P65" s="31"/>
      <c r="Q65" s="31"/>
      <c r="R65" s="31"/>
      <c r="S65" s="31"/>
    </row>
    <row r="66" spans="1:23">
      <c r="B66" s="41" t="s">
        <v>72</v>
      </c>
      <c r="C66" s="21"/>
      <c r="D66" s="5"/>
      <c r="F66" s="93" t="s">
        <v>118</v>
      </c>
      <c r="G66" s="93"/>
      <c r="H66" s="93"/>
      <c r="I66" s="93"/>
      <c r="J66" s="94"/>
      <c r="K66" s="94"/>
      <c r="L66" s="7"/>
      <c r="M66" s="5"/>
      <c r="N66" s="31"/>
      <c r="O66" s="31"/>
      <c r="P66" s="31"/>
      <c r="Q66" s="31"/>
      <c r="R66" s="31"/>
      <c r="S66" s="31"/>
    </row>
    <row r="67" spans="1:23" ht="15.75" thickBot="1">
      <c r="A67" s="22" t="s">
        <v>6</v>
      </c>
      <c r="B67" s="23" t="s">
        <v>83</v>
      </c>
      <c r="C67" s="23"/>
      <c r="D67" s="23" t="s">
        <v>67</v>
      </c>
      <c r="F67" s="4" t="s">
        <v>71</v>
      </c>
      <c r="G67" s="4"/>
      <c r="H67" s="4" t="s">
        <v>71</v>
      </c>
      <c r="I67" s="4"/>
      <c r="N67" s="31"/>
      <c r="O67" s="31"/>
      <c r="P67" s="31"/>
      <c r="Q67" s="31"/>
      <c r="R67" s="31"/>
      <c r="S67" s="31"/>
      <c r="T67" s="31"/>
      <c r="U67" s="31"/>
      <c r="V67" s="31"/>
      <c r="W67" s="31"/>
    </row>
    <row r="68" spans="1:23" ht="15.75">
      <c r="A68" s="8" t="s">
        <v>80</v>
      </c>
      <c r="B68" s="223">
        <v>62.7</v>
      </c>
      <c r="C68" s="49" t="s">
        <v>84</v>
      </c>
      <c r="D68" s="39">
        <f>(B68*3000*1.09*0.8*1.05)*1.04*1.05</f>
        <v>188069.00112000006</v>
      </c>
      <c r="F68" s="138" t="s">
        <v>90</v>
      </c>
      <c r="G68" s="139"/>
      <c r="H68" s="139"/>
      <c r="I68" s="139"/>
      <c r="J68" s="66"/>
      <c r="K68" s="66"/>
      <c r="L68" s="66"/>
      <c r="M68" s="67"/>
      <c r="N68" s="31"/>
      <c r="O68" s="31"/>
      <c r="P68" s="31"/>
      <c r="Q68" s="31"/>
      <c r="R68" s="66"/>
      <c r="S68" s="66"/>
      <c r="T68" s="66"/>
      <c r="U68" s="66"/>
      <c r="V68" s="124"/>
      <c r="W68" s="31"/>
    </row>
    <row r="69" spans="1:23">
      <c r="A69" s="12" t="s">
        <v>81</v>
      </c>
      <c r="B69" s="47">
        <v>40.98</v>
      </c>
      <c r="C69" s="49" t="s">
        <v>84</v>
      </c>
      <c r="D69" s="39">
        <f>(B69*3000*1.09*0.8*1.05)*1.04*1.05</f>
        <v>122919.73948800002</v>
      </c>
      <c r="F69" s="130"/>
      <c r="G69" s="31"/>
      <c r="H69" s="31"/>
      <c r="I69" s="31"/>
      <c r="J69" s="31"/>
      <c r="K69" s="31"/>
      <c r="L69" s="31"/>
      <c r="M69" s="131"/>
      <c r="N69" s="31"/>
      <c r="O69" s="129"/>
      <c r="P69" s="31"/>
      <c r="Q69" s="31"/>
      <c r="R69" s="31"/>
      <c r="S69" s="31" t="s">
        <v>79</v>
      </c>
      <c r="T69" s="31"/>
      <c r="U69" s="31"/>
      <c r="V69" s="125"/>
      <c r="W69" s="31"/>
    </row>
    <row r="70" spans="1:23">
      <c r="A70" s="232" t="s">
        <v>126</v>
      </c>
      <c r="B70" s="233">
        <v>28.2</v>
      </c>
      <c r="C70" s="234" t="s">
        <v>123</v>
      </c>
      <c r="D70" s="88">
        <f>(3000*1.09)*B70*1.05*1.04*1.05</f>
        <v>105732.57240000003</v>
      </c>
      <c r="F70" s="130" t="s">
        <v>103</v>
      </c>
      <c r="G70" s="31"/>
      <c r="H70" s="31"/>
      <c r="I70" s="31"/>
      <c r="J70" s="31" t="s">
        <v>79</v>
      </c>
      <c r="K70" s="31"/>
      <c r="L70" s="31"/>
      <c r="M70" s="131" t="s">
        <v>104</v>
      </c>
      <c r="N70" s="31"/>
      <c r="O70" s="31"/>
      <c r="P70" s="31"/>
      <c r="Q70" s="31"/>
      <c r="R70" s="31"/>
      <c r="S70" s="31"/>
      <c r="T70" s="31"/>
      <c r="U70" s="31"/>
      <c r="V70" s="125"/>
      <c r="W70" s="31"/>
    </row>
    <row r="71" spans="1:23">
      <c r="A71" s="232" t="s">
        <v>125</v>
      </c>
      <c r="B71" s="235">
        <v>28.59</v>
      </c>
      <c r="C71" s="234" t="s">
        <v>123</v>
      </c>
      <c r="D71" s="88">
        <f>(3000*1.09)*B71*1.05*1.04*1.05</f>
        <v>107194.83138000003</v>
      </c>
      <c r="F71" s="130"/>
      <c r="G71" s="31"/>
      <c r="H71" s="31"/>
      <c r="I71" s="31"/>
      <c r="J71" s="31"/>
      <c r="K71" s="31"/>
      <c r="L71" s="31"/>
      <c r="M71" s="131"/>
      <c r="N71" s="31"/>
      <c r="O71" s="31"/>
      <c r="P71" s="31"/>
      <c r="Q71" s="31"/>
      <c r="R71" s="31"/>
      <c r="S71" s="31"/>
      <c r="T71" s="31"/>
      <c r="U71" s="31"/>
      <c r="V71" s="125"/>
      <c r="W71" s="31"/>
    </row>
    <row r="72" spans="1:23">
      <c r="A72" s="232" t="s">
        <v>82</v>
      </c>
      <c r="B72" s="235">
        <v>40.98</v>
      </c>
      <c r="C72" s="234" t="s">
        <v>84</v>
      </c>
      <c r="D72" s="88">
        <f>(B72*3000*1.09*0.8*1.05)*1.04*1.05</f>
        <v>122919.73948800002</v>
      </c>
      <c r="F72" s="132" t="s">
        <v>127</v>
      </c>
      <c r="G72" s="133"/>
      <c r="H72" s="133"/>
      <c r="I72" s="133"/>
      <c r="J72" s="133"/>
      <c r="K72" s="133"/>
      <c r="L72" s="133"/>
      <c r="M72" s="224" t="s">
        <v>128</v>
      </c>
      <c r="N72" s="229"/>
      <c r="O72" s="229"/>
      <c r="P72" s="31"/>
      <c r="Q72" s="31"/>
      <c r="R72" s="31"/>
      <c r="S72" s="31"/>
      <c r="T72" s="31"/>
      <c r="U72" s="31"/>
      <c r="V72" s="125"/>
      <c r="W72" s="31"/>
    </row>
    <row r="73" spans="1:23">
      <c r="A73" s="232" t="s">
        <v>124</v>
      </c>
      <c r="B73" s="233">
        <v>29.45</v>
      </c>
      <c r="C73" s="234" t="s">
        <v>84</v>
      </c>
      <c r="D73" s="88">
        <f>105161.24*1.05</f>
        <v>110419.30200000001</v>
      </c>
      <c r="F73" s="132" t="s">
        <v>129</v>
      </c>
      <c r="G73" s="133"/>
      <c r="H73" s="133"/>
      <c r="I73" s="133"/>
      <c r="J73" s="133"/>
      <c r="K73" s="133"/>
      <c r="L73" s="133"/>
      <c r="M73" s="132" t="s">
        <v>134</v>
      </c>
      <c r="N73" s="133"/>
      <c r="O73" s="133"/>
      <c r="P73" s="133"/>
      <c r="Q73" s="31"/>
      <c r="R73" s="31"/>
      <c r="S73" s="31"/>
      <c r="T73" s="31"/>
      <c r="U73" s="31"/>
      <c r="V73" s="125"/>
      <c r="W73" s="31"/>
    </row>
    <row r="74" spans="1:23">
      <c r="A74" s="123" t="s">
        <v>73</v>
      </c>
      <c r="B74" s="155">
        <v>20.99</v>
      </c>
      <c r="C74" s="153" t="s">
        <v>84</v>
      </c>
      <c r="D74" s="122" t="s">
        <v>105</v>
      </c>
      <c r="F74" s="132" t="s">
        <v>130</v>
      </c>
      <c r="G74" s="133"/>
      <c r="H74" s="133"/>
      <c r="I74" s="133"/>
      <c r="J74" s="133"/>
      <c r="K74" s="133"/>
      <c r="L74" s="133"/>
      <c r="M74" s="134" t="s">
        <v>133</v>
      </c>
      <c r="N74" s="229"/>
      <c r="O74" s="229"/>
      <c r="P74" s="31"/>
      <c r="Q74" s="31"/>
      <c r="R74" s="31"/>
      <c r="S74" s="31"/>
      <c r="T74" s="31"/>
      <c r="U74" s="31"/>
      <c r="V74" s="125"/>
      <c r="W74" s="31"/>
    </row>
    <row r="75" spans="1:23">
      <c r="A75" s="207" t="s">
        <v>74</v>
      </c>
      <c r="B75" s="208">
        <v>20.99</v>
      </c>
      <c r="C75" s="209" t="s">
        <v>84</v>
      </c>
      <c r="D75" s="210" t="s">
        <v>105</v>
      </c>
      <c r="F75" s="132" t="s">
        <v>131</v>
      </c>
      <c r="G75" s="133"/>
      <c r="H75" s="133"/>
      <c r="I75" s="133"/>
      <c r="J75" s="133"/>
      <c r="K75" s="133"/>
      <c r="L75" s="133"/>
      <c r="M75" s="134" t="s">
        <v>132</v>
      </c>
      <c r="N75" s="229"/>
      <c r="O75" s="229"/>
      <c r="P75" s="31"/>
      <c r="Q75" s="31"/>
      <c r="R75" s="31"/>
      <c r="S75" s="31"/>
      <c r="T75" s="31"/>
      <c r="U75" s="31"/>
      <c r="V75" s="125"/>
      <c r="W75" s="31"/>
    </row>
    <row r="76" spans="1:23">
      <c r="A76" s="8" t="s">
        <v>75</v>
      </c>
      <c r="B76" s="46">
        <v>20.47</v>
      </c>
      <c r="C76" s="49" t="s">
        <v>84</v>
      </c>
      <c r="D76" s="39">
        <f>(B76*3000*1.09*1.05)*1.04*1.05</f>
        <v>76749.84954000001</v>
      </c>
      <c r="F76" s="132"/>
      <c r="G76" s="133"/>
      <c r="H76" s="133"/>
      <c r="I76" s="133"/>
      <c r="J76" s="133"/>
      <c r="K76" s="133"/>
      <c r="L76" s="133"/>
      <c r="M76" s="134" t="s">
        <v>136</v>
      </c>
      <c r="N76" s="229"/>
      <c r="O76" s="229"/>
      <c r="P76" s="31"/>
      <c r="Q76" s="31"/>
      <c r="R76" s="31"/>
      <c r="S76" s="31"/>
      <c r="T76" s="31"/>
      <c r="U76" s="31"/>
      <c r="V76" s="125"/>
      <c r="W76" s="31"/>
    </row>
    <row r="77" spans="1:23">
      <c r="A77" s="8" t="s">
        <v>76</v>
      </c>
      <c r="B77" s="48">
        <v>31.22</v>
      </c>
      <c r="C77" s="49" t="s">
        <v>84</v>
      </c>
      <c r="D77" s="39">
        <f>(B77*3000*1.09*1.05)*1.04*1.05</f>
        <v>117055.70604000002</v>
      </c>
      <c r="F77" s="196" t="s">
        <v>115</v>
      </c>
      <c r="G77" s="197"/>
      <c r="H77" s="197"/>
      <c r="I77" s="197"/>
      <c r="J77" s="197"/>
      <c r="K77" s="197"/>
      <c r="L77" s="197"/>
      <c r="M77" s="134" t="s">
        <v>135</v>
      </c>
      <c r="N77" s="229"/>
      <c r="O77" s="229"/>
      <c r="P77" s="31"/>
      <c r="Q77" s="31"/>
      <c r="R77" s="31"/>
      <c r="S77" s="31"/>
      <c r="T77" s="31"/>
      <c r="U77" s="31"/>
      <c r="V77" s="125"/>
      <c r="W77" s="31"/>
    </row>
    <row r="78" spans="1:23" ht="15.75" thickBot="1">
      <c r="A78" s="108" t="s">
        <v>116</v>
      </c>
      <c r="B78" s="156">
        <v>26.3</v>
      </c>
      <c r="C78" s="157" t="s">
        <v>84</v>
      </c>
      <c r="D78" s="39">
        <f>(B78*3000*1.09*1.05)*1.04*1.05</f>
        <v>98608.746600000013</v>
      </c>
      <c r="E78" t="s">
        <v>89</v>
      </c>
      <c r="F78" s="135"/>
      <c r="G78" s="136"/>
      <c r="H78" s="136"/>
      <c r="I78" s="136"/>
      <c r="J78" s="136"/>
      <c r="K78" s="136"/>
      <c r="L78" s="136"/>
      <c r="M78" s="137"/>
      <c r="N78" s="229"/>
      <c r="O78" s="229"/>
      <c r="P78" s="31"/>
      <c r="Q78" s="31"/>
      <c r="R78" s="31"/>
      <c r="S78" s="31"/>
      <c r="T78" s="31"/>
      <c r="U78" s="31"/>
      <c r="V78" s="125"/>
      <c r="W78" s="31"/>
    </row>
    <row r="79" spans="1:23">
      <c r="A79" s="108" t="s">
        <v>95</v>
      </c>
      <c r="B79" s="156">
        <v>30.86</v>
      </c>
      <c r="C79" s="157" t="s">
        <v>84</v>
      </c>
      <c r="D79" s="39">
        <f>(B79*3000*1.09*1.05)*1.04*1.05</f>
        <v>115705.92852000003</v>
      </c>
      <c r="E79" t="s">
        <v>89</v>
      </c>
      <c r="F79" s="198"/>
      <c r="G79" s="199"/>
      <c r="H79" s="199"/>
      <c r="I79" s="199"/>
      <c r="J79" s="199"/>
      <c r="K79" s="199"/>
      <c r="L79" s="199"/>
      <c r="M79" s="200"/>
      <c r="N79" s="229"/>
      <c r="O79" s="229"/>
      <c r="P79" s="31"/>
      <c r="Q79" s="31"/>
      <c r="R79" s="31"/>
      <c r="S79" s="31"/>
      <c r="T79" s="31"/>
      <c r="U79" s="31"/>
      <c r="V79" s="125"/>
      <c r="W79" s="31"/>
    </row>
    <row r="80" spans="1:23" ht="15.75" thickBot="1">
      <c r="A80" s="123" t="s">
        <v>77</v>
      </c>
      <c r="B80" s="152">
        <v>19.809999999999999</v>
      </c>
      <c r="C80" s="153" t="s">
        <v>84</v>
      </c>
      <c r="D80" s="122">
        <f>(B80*3000*1.09*1.05)*1.04*1.05</f>
        <v>74275.257420000009</v>
      </c>
      <c r="F80" s="132"/>
      <c r="G80" s="133"/>
      <c r="H80" s="133"/>
      <c r="I80" s="133"/>
      <c r="J80" s="133"/>
      <c r="K80" s="133"/>
      <c r="L80" s="133"/>
      <c r="M80" s="134"/>
      <c r="N80" s="31"/>
      <c r="O80" s="31"/>
      <c r="P80" s="31"/>
      <c r="Q80" s="31"/>
      <c r="R80" s="68"/>
      <c r="S80" s="68"/>
      <c r="T80" s="68"/>
      <c r="U80" s="68"/>
      <c r="V80" s="126"/>
      <c r="W80" s="31"/>
    </row>
    <row r="81" spans="1:14" ht="15.75" thickBot="1">
      <c r="A81" s="29" t="s">
        <v>92</v>
      </c>
      <c r="B81" s="50">
        <f>SUM(B68:B80)</f>
        <v>401.54000000000008</v>
      </c>
      <c r="C81" s="51" t="s">
        <v>84</v>
      </c>
      <c r="D81" s="61">
        <f>SUM(D68:D80)</f>
        <v>1239650.6739960001</v>
      </c>
      <c r="F81" s="135"/>
      <c r="G81" s="136"/>
      <c r="H81" s="136"/>
      <c r="I81" s="136"/>
      <c r="J81" s="136"/>
      <c r="K81" s="136"/>
      <c r="L81" s="136"/>
      <c r="M81" s="137"/>
      <c r="N81" s="70"/>
    </row>
    <row r="82" spans="1:14" ht="18.75">
      <c r="A82" s="185" t="s">
        <v>119</v>
      </c>
      <c r="B82" s="186"/>
      <c r="C82" s="186"/>
      <c r="D82" s="186"/>
      <c r="E82" s="186"/>
      <c r="F82" s="187"/>
      <c r="G82" s="188"/>
      <c r="H82" s="188"/>
      <c r="I82" s="186"/>
      <c r="J82" s="189"/>
      <c r="K82" s="189"/>
      <c r="L82" s="189"/>
      <c r="M82" s="190"/>
    </row>
    <row r="83" spans="1:14" ht="19.5" thickBot="1">
      <c r="A83" s="203" t="s">
        <v>120</v>
      </c>
      <c r="B83" s="204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05"/>
    </row>
    <row r="84" spans="1:14" ht="19.5" thickBot="1">
      <c r="A84" s="206" t="s">
        <v>121</v>
      </c>
      <c r="B84" s="249"/>
      <c r="C84" s="249"/>
      <c r="D84" s="250"/>
      <c r="E84" s="251"/>
      <c r="F84" s="251"/>
      <c r="G84" s="251"/>
      <c r="H84" s="251"/>
      <c r="I84" s="251"/>
      <c r="J84" s="251"/>
      <c r="K84" s="251"/>
      <c r="L84" s="251"/>
      <c r="M84" s="252"/>
    </row>
    <row r="88" spans="1:14">
      <c r="A88" s="43"/>
      <c r="B88" s="247"/>
      <c r="C88" s="63"/>
      <c r="D88" s="42"/>
    </row>
    <row r="91" spans="1:14">
      <c r="A91" s="44"/>
      <c r="B91" s="31"/>
      <c r="D91" s="31"/>
    </row>
    <row r="92" spans="1:14">
      <c r="A92" s="43"/>
      <c r="B92" s="32"/>
      <c r="C92" s="33"/>
      <c r="D92" s="42"/>
    </row>
    <row r="93" spans="1:14">
      <c r="A93" s="43"/>
      <c r="B93" s="32"/>
      <c r="C93" s="33"/>
      <c r="D93" s="42"/>
    </row>
    <row r="94" spans="1:14">
      <c r="A94" s="43"/>
      <c r="B94" s="32"/>
      <c r="C94" s="33"/>
      <c r="D94" s="42"/>
    </row>
    <row r="95" spans="1:14">
      <c r="A95" s="43"/>
      <c r="B95" s="32"/>
      <c r="C95" s="33"/>
      <c r="D95" s="42"/>
    </row>
    <row r="96" spans="1:14">
      <c r="A96" s="43"/>
      <c r="B96" s="32"/>
      <c r="C96" s="33"/>
      <c r="D96" s="42"/>
    </row>
    <row r="97" spans="1:4">
      <c r="A97" s="43"/>
      <c r="B97" s="32"/>
      <c r="C97" s="33"/>
      <c r="D97" s="42"/>
    </row>
    <row r="98" spans="1:4">
      <c r="A98" s="43"/>
      <c r="B98" s="32"/>
      <c r="C98" s="33"/>
      <c r="D98" s="42"/>
    </row>
    <row r="99" spans="1:4">
      <c r="A99" s="43"/>
      <c r="B99" s="32"/>
      <c r="C99" s="33"/>
      <c r="D99" s="42"/>
    </row>
    <row r="100" spans="1:4">
      <c r="A100" s="43"/>
      <c r="B100" s="32"/>
      <c r="C100" s="33"/>
      <c r="D100" s="42"/>
    </row>
    <row r="101" spans="1:4">
      <c r="A101" s="43"/>
      <c r="B101" s="32"/>
      <c r="C101" s="33"/>
      <c r="D101" s="42"/>
    </row>
    <row r="102" spans="1:4">
      <c r="A102" s="43"/>
      <c r="B102" s="32"/>
      <c r="C102" s="33"/>
      <c r="D102" s="42"/>
    </row>
    <row r="103" spans="1:4">
      <c r="A103" s="44"/>
      <c r="B103" s="31"/>
      <c r="C103" s="31"/>
      <c r="D103" s="31"/>
    </row>
    <row r="104" spans="1:4">
      <c r="A104" s="44"/>
      <c r="C104" s="31"/>
    </row>
    <row r="129" spans="1:12">
      <c r="L129" t="s">
        <v>69</v>
      </c>
    </row>
    <row r="139" spans="1:12">
      <c r="D139" t="s">
        <v>4</v>
      </c>
      <c r="J139" t="s">
        <v>3</v>
      </c>
    </row>
    <row r="140" spans="1:12">
      <c r="A140" s="44"/>
      <c r="B140" s="31"/>
      <c r="C140" s="31"/>
      <c r="D140" s="31"/>
      <c r="E140" s="31"/>
      <c r="F140" s="31"/>
      <c r="G140" s="31"/>
      <c r="H140" s="31"/>
      <c r="I140" s="31"/>
      <c r="J140" s="31"/>
    </row>
    <row r="141" spans="1:12">
      <c r="A141" s="44"/>
      <c r="B141" s="31"/>
      <c r="C141" s="31"/>
      <c r="D141" s="31"/>
      <c r="E141" s="31"/>
      <c r="F141" s="31"/>
      <c r="G141" s="31"/>
      <c r="H141" s="31"/>
      <c r="I141" s="31"/>
      <c r="J141" s="31"/>
    </row>
    <row r="142" spans="1:12">
      <c r="A142" s="44"/>
      <c r="B142" s="31"/>
      <c r="C142" s="31"/>
      <c r="D142" s="44"/>
      <c r="E142" s="44"/>
      <c r="F142" s="44"/>
      <c r="G142" s="31"/>
      <c r="H142" s="31"/>
      <c r="I142" s="31"/>
      <c r="J142" s="31"/>
    </row>
    <row r="145" spans="1:13">
      <c r="A145" s="96" t="s">
        <v>18</v>
      </c>
      <c r="B145" s="97" t="s">
        <v>15</v>
      </c>
      <c r="C145" s="98">
        <v>104.16</v>
      </c>
      <c r="D145" s="98">
        <v>56.07</v>
      </c>
      <c r="E145" s="99">
        <v>16.190000000000001</v>
      </c>
      <c r="F145" s="98">
        <f>C145+D145+E145</f>
        <v>176.42</v>
      </c>
      <c r="G145" s="100">
        <f>(5350*1.125*1.09*1.07)*(F145-D145/1.7)*1.05*1.05</f>
        <v>1110090.3585796657</v>
      </c>
      <c r="H145" s="154" t="s">
        <v>60</v>
      </c>
      <c r="I145" s="154" t="s">
        <v>93</v>
      </c>
      <c r="J145" s="98">
        <v>52.7</v>
      </c>
      <c r="K145" s="101">
        <f>(3000*1.09)*J145*1.05</f>
        <v>180945.45000000004</v>
      </c>
      <c r="L145" s="102">
        <f t="shared" ref="L145" si="9">F145+J145</f>
        <v>229.12</v>
      </c>
      <c r="M145" s="103">
        <f t="shared" ref="M145" si="10">G145+K145</f>
        <v>1291035.8085796656</v>
      </c>
    </row>
    <row r="148" spans="1:13">
      <c r="A148" s="8" t="s">
        <v>42</v>
      </c>
      <c r="B148" s="16" t="s">
        <v>14</v>
      </c>
      <c r="C148" s="13">
        <v>86.05</v>
      </c>
      <c r="D148" s="13"/>
      <c r="E148" s="14">
        <v>11.52</v>
      </c>
      <c r="F148" s="13">
        <f t="shared" ref="F148" si="11">C148+D148+E148</f>
        <v>97.57</v>
      </c>
      <c r="G148" s="81">
        <f>(5600*1.125*1.09)*F148*1.05</f>
        <v>703513.84950000013</v>
      </c>
      <c r="H148" s="27">
        <v>59</v>
      </c>
      <c r="I148" s="27"/>
      <c r="J148" s="13">
        <v>19</v>
      </c>
      <c r="K148" s="81">
        <f>(3000*1.09)*J148*1.05</f>
        <v>65236.500000000007</v>
      </c>
      <c r="L148" s="30">
        <f t="shared" ref="L148" si="12">F148+J148</f>
        <v>116.57</v>
      </c>
      <c r="M148" s="39">
        <f t="shared" ref="M148" si="13">G148+K148</f>
        <v>768750.34950000013</v>
      </c>
    </row>
    <row r="150" spans="1:13">
      <c r="A150" s="8" t="s">
        <v>42</v>
      </c>
      <c r="B150" s="16" t="s">
        <v>14</v>
      </c>
      <c r="C150" s="13">
        <v>86.05</v>
      </c>
      <c r="D150" s="13"/>
      <c r="E150" s="14">
        <v>11.52</v>
      </c>
      <c r="F150" s="13">
        <f t="shared" ref="F150" si="14">C150+D150+E150</f>
        <v>97.57</v>
      </c>
      <c r="G150" s="81">
        <f>(5600*1.125*1.09)*F150*1.05</f>
        <v>703513.84950000013</v>
      </c>
      <c r="H150" s="27">
        <v>59</v>
      </c>
      <c r="I150" s="27"/>
      <c r="J150" s="13">
        <v>19</v>
      </c>
      <c r="K150" s="81">
        <f>(3000*1.09)*J150*1.05</f>
        <v>65236.500000000007</v>
      </c>
      <c r="L150" s="30">
        <f t="shared" ref="L150" si="15">F150+J150</f>
        <v>116.57</v>
      </c>
      <c r="M150" s="39">
        <f t="shared" ref="M150" si="16">G150+K150</f>
        <v>768750.34950000013</v>
      </c>
    </row>
    <row r="153" spans="1:13">
      <c r="A153" s="108" t="s">
        <v>94</v>
      </c>
      <c r="B153" s="156">
        <v>31.45</v>
      </c>
      <c r="C153" s="157" t="s">
        <v>84</v>
      </c>
      <c r="D153" s="116">
        <f t="shared" ref="D153" si="17">B153*3000*1.09*1.05</f>
        <v>107983.57500000003</v>
      </c>
    </row>
    <row r="156" spans="1:13">
      <c r="A156" s="161" t="s">
        <v>20</v>
      </c>
      <c r="B156" s="162" t="s">
        <v>15</v>
      </c>
      <c r="C156" s="163">
        <v>104.68</v>
      </c>
      <c r="D156" s="163">
        <v>28</v>
      </c>
      <c r="E156" s="164">
        <v>14.03</v>
      </c>
      <c r="F156" s="163">
        <f t="shared" ref="F156" si="18">C156+D156+E156</f>
        <v>146.71</v>
      </c>
      <c r="G156" s="165">
        <f>(5350*1.125*1.09*1.07)*(F156-D156/2.5)*1.05</f>
        <v>998796.98899968783</v>
      </c>
      <c r="H156" s="168" t="s">
        <v>61</v>
      </c>
      <c r="I156" s="168" t="s">
        <v>93</v>
      </c>
      <c r="J156" s="163">
        <v>57.02</v>
      </c>
      <c r="K156" s="165">
        <f t="shared" ref="K156" si="19">(3000*1.09)*J156*1.05</f>
        <v>195778.17000000004</v>
      </c>
      <c r="L156" s="166">
        <f t="shared" ref="L156" si="20">F156+J156</f>
        <v>203.73000000000002</v>
      </c>
      <c r="M156" s="167">
        <f>G156+K156</f>
        <v>1194575.158999688</v>
      </c>
    </row>
  </sheetData>
  <mergeCells count="1">
    <mergeCell ref="B65:C65"/>
  </mergeCells>
  <pageMargins left="0.51181102362204722" right="0.11811023622047245" top="3.937007874015748E-2" bottom="3.937007874015748E-2" header="0" footer="0"/>
  <pageSetup paperSize="9" scale="68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2019-04-01T17:14:50Z</cp:lastPrinted>
  <dcterms:created xsi:type="dcterms:W3CDTF">2014-08-21T12:52:11Z</dcterms:created>
  <dcterms:modified xsi:type="dcterms:W3CDTF">2019-04-01T19:36:35Z</dcterms:modified>
</cp:coreProperties>
</file>